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120" yWindow="480" windowWidth="24765" windowHeight="15120" tabRatio="555"/>
  </bookViews>
  <sheets>
    <sheet name="Функц. 2025-2027" sheetId="7" r:id="rId1"/>
    <sheet name="Целевые 2025-2027" sheetId="9" state="hidden" r:id="rId2"/>
    <sheet name="Р., Пр.2025-2027" sheetId="10" state="hidden" r:id="rId3"/>
    <sheet name="ведом. 2025-2027" sheetId="2" state="hidden" r:id="rId4"/>
    <sheet name="Лист1" sheetId="11" state="hidden" r:id="rId5"/>
  </sheets>
  <definedNames>
    <definedName name="_xlnm.Print_Titles" localSheetId="3">'ведом. 2025-2027'!$10:$11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2025-2027'!$H$2:$AF$1037</definedName>
    <definedName name="_xlnm.Print_Area" localSheetId="2">'Р., Пр.2025-2027'!$A$1:$F$65</definedName>
    <definedName name="_xlnm.Print_Area" localSheetId="0">'Функц. 2025-2027'!$A$1:$K$904</definedName>
    <definedName name="_xlnm.Print_Area" localSheetId="1">'Целевые 2025-2027'!$A$1:$I$736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9" l="1"/>
  <c r="F104" i="9"/>
  <c r="D104" i="9"/>
  <c r="E105" i="9"/>
  <c r="F105" i="9"/>
  <c r="D105" i="9"/>
  <c r="F106" i="9"/>
  <c r="D106" i="9"/>
  <c r="E106" i="9"/>
  <c r="G841" i="7"/>
  <c r="H841" i="7"/>
  <c r="I841" i="7"/>
  <c r="J841" i="7"/>
  <c r="K841" i="7"/>
  <c r="F841" i="7"/>
  <c r="K843" i="7"/>
  <c r="I843" i="7"/>
  <c r="G843" i="7"/>
  <c r="G842" i="7"/>
  <c r="H842" i="7"/>
  <c r="I842" i="7"/>
  <c r="J842" i="7"/>
  <c r="K842" i="7"/>
  <c r="F842" i="7"/>
  <c r="J843" i="7"/>
  <c r="H843" i="7"/>
  <c r="F843" i="7"/>
  <c r="AE444" i="2"/>
  <c r="AF444" i="2"/>
  <c r="AD444" i="2"/>
  <c r="AE457" i="2"/>
  <c r="AF457" i="2"/>
  <c r="AE456" i="2"/>
  <c r="AF456" i="2"/>
  <c r="AF455" i="2" s="1"/>
  <c r="AF454" i="2" s="1"/>
  <c r="AF453" i="2" s="1"/>
  <c r="AF452" i="2" s="1"/>
  <c r="AE455" i="2"/>
  <c r="AE454" i="2" s="1"/>
  <c r="AE453" i="2" s="1"/>
  <c r="AE452" i="2" s="1"/>
  <c r="AD452" i="2"/>
  <c r="AD453" i="2"/>
  <c r="AD454" i="2"/>
  <c r="AD455" i="2"/>
  <c r="AD456" i="2"/>
  <c r="AD457" i="2"/>
  <c r="J174" i="7"/>
  <c r="J173" i="7" s="1"/>
  <c r="H174" i="7"/>
  <c r="H173" i="7" s="1"/>
  <c r="F174" i="7"/>
  <c r="F173" i="7" s="1"/>
  <c r="J176" i="7"/>
  <c r="F480" i="9" s="1"/>
  <c r="F479" i="9" s="1"/>
  <c r="H176" i="7"/>
  <c r="H175" i="7" s="1"/>
  <c r="F176" i="7"/>
  <c r="D480" i="9" s="1"/>
  <c r="D479" i="9" s="1"/>
  <c r="AE90" i="2"/>
  <c r="AD90" i="2"/>
  <c r="AE102" i="2"/>
  <c r="AF102" i="2"/>
  <c r="AE104" i="2"/>
  <c r="AF104" i="2"/>
  <c r="AE101" i="2"/>
  <c r="AD101" i="2"/>
  <c r="AD102" i="2"/>
  <c r="AD104" i="2"/>
  <c r="AE108" i="2"/>
  <c r="AF108" i="2"/>
  <c r="AF107" i="2" s="1"/>
  <c r="AD109" i="2"/>
  <c r="F182" i="7" s="1"/>
  <c r="AD110" i="2"/>
  <c r="AE110" i="2"/>
  <c r="AF110" i="2"/>
  <c r="AF631" i="2"/>
  <c r="AE631" i="2"/>
  <c r="AD631" i="2"/>
  <c r="AF797" i="2"/>
  <c r="AE797" i="2"/>
  <c r="AD797" i="2"/>
  <c r="J610" i="7"/>
  <c r="F98" i="9" s="1"/>
  <c r="F97" i="9" s="1"/>
  <c r="H610" i="7"/>
  <c r="E98" i="9" s="1"/>
  <c r="E97" i="9" s="1"/>
  <c r="F610" i="7"/>
  <c r="F609" i="7" s="1"/>
  <c r="AE669" i="2"/>
  <c r="AF669" i="2"/>
  <c r="AD669" i="2"/>
  <c r="AD672" i="2"/>
  <c r="J311" i="7"/>
  <c r="J310" i="7" s="1"/>
  <c r="H311" i="7"/>
  <c r="H310" i="7" s="1"/>
  <c r="F311" i="7"/>
  <c r="F310" i="7" s="1"/>
  <c r="AD815" i="2"/>
  <c r="AE812" i="2"/>
  <c r="AF812" i="2"/>
  <c r="AD812" i="2"/>
  <c r="AD756" i="2"/>
  <c r="AD667" i="2"/>
  <c r="AD122" i="2"/>
  <c r="AD55" i="2"/>
  <c r="AD139" i="2"/>
  <c r="AD170" i="2"/>
  <c r="AD134" i="2"/>
  <c r="AD522" i="2"/>
  <c r="AD958" i="2"/>
  <c r="AD96" i="2"/>
  <c r="AD202" i="2"/>
  <c r="F175" i="7" l="1"/>
  <c r="D478" i="9"/>
  <c r="D477" i="9" s="1"/>
  <c r="E478" i="9"/>
  <c r="E477" i="9" s="1"/>
  <c r="F478" i="9"/>
  <c r="F477" i="9" s="1"/>
  <c r="J175" i="7"/>
  <c r="E480" i="9"/>
  <c r="E479" i="9" s="1"/>
  <c r="AF101" i="2"/>
  <c r="AF90" i="2" s="1"/>
  <c r="AE107" i="2"/>
  <c r="AD108" i="2"/>
  <c r="AD107" i="2" s="1"/>
  <c r="D98" i="9"/>
  <c r="D97" i="9" s="1"/>
  <c r="D249" i="9"/>
  <c r="D248" i="9" s="1"/>
  <c r="G311" i="7"/>
  <c r="G310" i="7" s="1"/>
  <c r="E249" i="9"/>
  <c r="E248" i="9" s="1"/>
  <c r="F249" i="9"/>
  <c r="F248" i="9" s="1"/>
  <c r="AD410" i="2" l="1"/>
  <c r="AD925" i="2"/>
  <c r="AD408" i="2"/>
  <c r="AD827" i="2"/>
  <c r="AD698" i="2"/>
  <c r="AD913" i="2"/>
  <c r="AD595" i="2"/>
  <c r="AD592" i="2"/>
  <c r="AD589" i="2"/>
  <c r="G389" i="9"/>
  <c r="H389" i="9"/>
  <c r="I389" i="9"/>
  <c r="J389" i="9"/>
  <c r="K389" i="9"/>
  <c r="L389" i="9"/>
  <c r="M389" i="9"/>
  <c r="N389" i="9"/>
  <c r="O389" i="9"/>
  <c r="P389" i="9"/>
  <c r="Q389" i="9"/>
  <c r="R389" i="9"/>
  <c r="S389" i="9"/>
  <c r="T389" i="9"/>
  <c r="U389" i="9"/>
  <c r="V389" i="9"/>
  <c r="W389" i="9"/>
  <c r="X389" i="9"/>
  <c r="Y389" i="9"/>
  <c r="Z389" i="9"/>
  <c r="AA389" i="9"/>
  <c r="AB389" i="9"/>
  <c r="AC389" i="9"/>
  <c r="AD389" i="9"/>
  <c r="J429" i="7"/>
  <c r="J428" i="7" s="1"/>
  <c r="J427" i="7" s="1"/>
  <c r="H429" i="7"/>
  <c r="H428" i="7" s="1"/>
  <c r="H427" i="7" s="1"/>
  <c r="F429" i="7"/>
  <c r="F428" i="7" s="1"/>
  <c r="F427" i="7" s="1"/>
  <c r="AE872" i="2"/>
  <c r="AF872" i="2"/>
  <c r="AF871" i="2" s="1"/>
  <c r="AE871" i="2"/>
  <c r="AD872" i="2"/>
  <c r="AD871" i="2" s="1"/>
  <c r="AD919" i="2"/>
  <c r="J638" i="7"/>
  <c r="J637" i="7" s="1"/>
  <c r="J636" i="7" s="1"/>
  <c r="J635" i="7" s="1"/>
  <c r="H638" i="7"/>
  <c r="H637" i="7" s="1"/>
  <c r="H636" i="7" s="1"/>
  <c r="H635" i="7" s="1"/>
  <c r="F638" i="7"/>
  <c r="F637" i="7" s="1"/>
  <c r="F636" i="7" s="1"/>
  <c r="F635" i="7" s="1"/>
  <c r="AE697" i="2"/>
  <c r="AE696" i="2" s="1"/>
  <c r="AE695" i="2" s="1"/>
  <c r="AF697" i="2"/>
  <c r="AF696" i="2" s="1"/>
  <c r="AF695" i="2" s="1"/>
  <c r="AD697" i="2"/>
  <c r="AD696" i="2" s="1"/>
  <c r="AD695" i="2" s="1"/>
  <c r="AD643" i="2"/>
  <c r="AD200" i="2"/>
  <c r="J287" i="7"/>
  <c r="J286" i="7" s="1"/>
  <c r="J285" i="7" s="1"/>
  <c r="J284" i="7" s="1"/>
  <c r="J283" i="7" s="1"/>
  <c r="J282" i="7" s="1"/>
  <c r="H287" i="7"/>
  <c r="H286" i="7" s="1"/>
  <c r="H285" i="7" s="1"/>
  <c r="H284" i="7" s="1"/>
  <c r="H283" i="7" s="1"/>
  <c r="H282" i="7" s="1"/>
  <c r="F287" i="7"/>
  <c r="F286" i="7" s="1"/>
  <c r="F285" i="7" s="1"/>
  <c r="F284" i="7" s="1"/>
  <c r="F283" i="7" s="1"/>
  <c r="F282" i="7" s="1"/>
  <c r="AF207" i="2"/>
  <c r="AF206" i="2" s="1"/>
  <c r="AF205" i="2" s="1"/>
  <c r="AF204" i="2" s="1"/>
  <c r="AF203" i="2" s="1"/>
  <c r="AE207" i="2"/>
  <c r="AE206" i="2" s="1"/>
  <c r="AE205" i="2" s="1"/>
  <c r="AE204" i="2" s="1"/>
  <c r="AE203" i="2" s="1"/>
  <c r="AD207" i="2"/>
  <c r="AD206" i="2" s="1"/>
  <c r="AD205" i="2" s="1"/>
  <c r="AD204" i="2" s="1"/>
  <c r="AD203" i="2" s="1"/>
  <c r="AD43" i="2"/>
  <c r="F390" i="9" l="1"/>
  <c r="F389" i="9" s="1"/>
  <c r="F388" i="9" s="1"/>
  <c r="D390" i="9"/>
  <c r="D389" i="9" s="1"/>
  <c r="D388" i="9" s="1"/>
  <c r="E390" i="9"/>
  <c r="E389" i="9" s="1"/>
  <c r="E388" i="9" s="1"/>
  <c r="D138" i="9"/>
  <c r="D137" i="9" s="1"/>
  <c r="D136" i="9" s="1"/>
  <c r="D135" i="9" s="1"/>
  <c r="E138" i="9"/>
  <c r="E137" i="9" s="1"/>
  <c r="E136" i="9" s="1"/>
  <c r="E135" i="9" s="1"/>
  <c r="F138" i="9"/>
  <c r="F137" i="9" s="1"/>
  <c r="F136" i="9" s="1"/>
  <c r="F135" i="9" s="1"/>
  <c r="AD559" i="2" l="1"/>
  <c r="AD61" i="2" l="1"/>
  <c r="AE919" i="2"/>
  <c r="I423" i="7"/>
  <c r="I422" i="7" s="1"/>
  <c r="I418" i="7" s="1"/>
  <c r="AE916" i="2" l="1"/>
  <c r="AE868" i="2"/>
  <c r="AD868" i="2"/>
  <c r="AE736" i="2"/>
  <c r="AD736" i="2"/>
  <c r="AD953" i="2"/>
  <c r="AD939" i="2"/>
  <c r="AD293" i="2"/>
  <c r="AD233" i="2"/>
  <c r="G442" i="9"/>
  <c r="H442" i="9"/>
  <c r="I442" i="9"/>
  <c r="J442" i="9"/>
  <c r="K442" i="9"/>
  <c r="L442" i="9"/>
  <c r="M442" i="9"/>
  <c r="N442" i="9"/>
  <c r="O442" i="9"/>
  <c r="P442" i="9"/>
  <c r="Q442" i="9"/>
  <c r="R442" i="9"/>
  <c r="S442" i="9"/>
  <c r="T442" i="9"/>
  <c r="U442" i="9"/>
  <c r="V442" i="9"/>
  <c r="W442" i="9"/>
  <c r="X442" i="9"/>
  <c r="Y442" i="9"/>
  <c r="Z442" i="9"/>
  <c r="AA442" i="9"/>
  <c r="AB442" i="9"/>
  <c r="AC442" i="9"/>
  <c r="AD442" i="9"/>
  <c r="J71" i="7"/>
  <c r="J70" i="7" s="1"/>
  <c r="H71" i="7"/>
  <c r="H70" i="7" s="1"/>
  <c r="F71" i="7"/>
  <c r="D443" i="9" s="1"/>
  <c r="D442" i="9" s="1"/>
  <c r="AE44" i="2"/>
  <c r="AF44" i="2"/>
  <c r="AD44" i="2"/>
  <c r="AD491" i="2"/>
  <c r="AD515" i="2"/>
  <c r="AD512" i="2"/>
  <c r="AD1028" i="2"/>
  <c r="AD78" i="2"/>
  <c r="AD80" i="2"/>
  <c r="J547" i="7"/>
  <c r="F669" i="9" s="1"/>
  <c r="F668" i="9" s="1"/>
  <c r="H547" i="7"/>
  <c r="E669" i="9" s="1"/>
  <c r="E668" i="9" s="1"/>
  <c r="F547" i="7"/>
  <c r="D669" i="9" s="1"/>
  <c r="D668" i="9" s="1"/>
  <c r="AE954" i="2"/>
  <c r="AF954" i="2"/>
  <c r="AD954" i="2"/>
  <c r="AE858" i="2"/>
  <c r="F70" i="7" l="1"/>
  <c r="E443" i="9"/>
  <c r="E442" i="9" s="1"/>
  <c r="F443" i="9"/>
  <c r="F442" i="9" s="1"/>
  <c r="F546" i="7"/>
  <c r="J546" i="7"/>
  <c r="H546" i="7"/>
  <c r="G424" i="7" l="1"/>
  <c r="F375" i="9"/>
  <c r="F374" i="9" s="1"/>
  <c r="F373" i="9" s="1"/>
  <c r="G413" i="7"/>
  <c r="I413" i="7"/>
  <c r="I412" i="7" s="1"/>
  <c r="J413" i="7"/>
  <c r="J412" i="7" s="1"/>
  <c r="G412" i="7"/>
  <c r="G405" i="7" s="1"/>
  <c r="H414" i="7"/>
  <c r="E375" i="9" s="1"/>
  <c r="E374" i="9" s="1"/>
  <c r="E373" i="9" s="1"/>
  <c r="AE857" i="2"/>
  <c r="AE856" i="2" s="1"/>
  <c r="AF857" i="2"/>
  <c r="AF856" i="2" s="1"/>
  <c r="AD858" i="2"/>
  <c r="AD857" i="2" s="1"/>
  <c r="AD856" i="2" s="1"/>
  <c r="AD443" i="2"/>
  <c r="F414" i="7" l="1"/>
  <c r="D375" i="9" s="1"/>
  <c r="D374" i="9" s="1"/>
  <c r="D373" i="9" s="1"/>
  <c r="H413" i="7"/>
  <c r="H412" i="7" s="1"/>
  <c r="AE378" i="2"/>
  <c r="AF378" i="2"/>
  <c r="AD378" i="2"/>
  <c r="AD375" i="2"/>
  <c r="F413" i="7" l="1"/>
  <c r="F412" i="7" s="1"/>
  <c r="G485" i="7"/>
  <c r="G487" i="7" l="1"/>
  <c r="AE77" i="2"/>
  <c r="AF77" i="2"/>
  <c r="AD77" i="2"/>
  <c r="AD82" i="2"/>
  <c r="AD318" i="2"/>
  <c r="AD898" i="2"/>
  <c r="AD519" i="2"/>
  <c r="AD549" i="2" l="1"/>
  <c r="AE663" i="2"/>
  <c r="AD663" i="2"/>
  <c r="E604" i="9"/>
  <c r="F604" i="9"/>
  <c r="G486" i="7"/>
  <c r="H486" i="7"/>
  <c r="J486" i="7"/>
  <c r="F487" i="7"/>
  <c r="D605" i="9" s="1"/>
  <c r="D604" i="9" s="1"/>
  <c r="F485" i="7"/>
  <c r="AE317" i="2"/>
  <c r="AE316" i="2" s="1"/>
  <c r="AE315" i="2" s="1"/>
  <c r="AE314" i="2" s="1"/>
  <c r="AF317" i="2"/>
  <c r="AF316" i="2" s="1"/>
  <c r="AF315" i="2" s="1"/>
  <c r="AF314" i="2" s="1"/>
  <c r="AD317" i="2"/>
  <c r="AD316" i="2" s="1"/>
  <c r="AD315" i="2" s="1"/>
  <c r="AD314" i="2" s="1"/>
  <c r="AF737" i="2"/>
  <c r="AE737" i="2"/>
  <c r="AD737" i="2"/>
  <c r="AF736" i="2"/>
  <c r="AF732" i="2"/>
  <c r="AE732" i="2"/>
  <c r="AD732" i="2"/>
  <c r="AD694" i="2"/>
  <c r="F486" i="7" l="1"/>
  <c r="J458" i="7"/>
  <c r="F285" i="9" s="1"/>
  <c r="F284" i="9" s="1"/>
  <c r="H458" i="7"/>
  <c r="E285" i="9" s="1"/>
  <c r="E284" i="9" s="1"/>
  <c r="F458" i="7"/>
  <c r="F457" i="7" s="1"/>
  <c r="AE299" i="2"/>
  <c r="AF299" i="2"/>
  <c r="AD298" i="2"/>
  <c r="AD299" i="2"/>
  <c r="J457" i="7" l="1"/>
  <c r="H457" i="7"/>
  <c r="D285" i="9"/>
  <c r="D284" i="9" s="1"/>
  <c r="AD622" i="2"/>
  <c r="G494" i="7" l="1"/>
  <c r="G404" i="7"/>
  <c r="AE691" i="2"/>
  <c r="AE559" i="2"/>
  <c r="AE694" i="2" l="1"/>
  <c r="AE240" i="2" l="1"/>
  <c r="AD240" i="2"/>
  <c r="AF559" i="2"/>
  <c r="J634" i="7"/>
  <c r="F134" i="9" s="1"/>
  <c r="F133" i="9" s="1"/>
  <c r="F132" i="9" s="1"/>
  <c r="H634" i="7"/>
  <c r="H633" i="7" s="1"/>
  <c r="H632" i="7" s="1"/>
  <c r="F634" i="7"/>
  <c r="G633" i="7" s="1"/>
  <c r="G632" i="7" s="1"/>
  <c r="AE693" i="2"/>
  <c r="AE692" i="2" s="1"/>
  <c r="AF693" i="2"/>
  <c r="AF692" i="2" s="1"/>
  <c r="AD693" i="2"/>
  <c r="AD692" i="2" s="1"/>
  <c r="J633" i="7" l="1"/>
  <c r="J632" i="7" s="1"/>
  <c r="E134" i="9"/>
  <c r="E133" i="9" s="1"/>
  <c r="E132" i="9" s="1"/>
  <c r="I633" i="7"/>
  <c r="I632" i="7" s="1"/>
  <c r="F633" i="7"/>
  <c r="F632" i="7" s="1"/>
  <c r="D134" i="9"/>
  <c r="D133" i="9" s="1"/>
  <c r="D132" i="9" s="1"/>
  <c r="AD428" i="2"/>
  <c r="AD905" i="2" l="1"/>
  <c r="AD848" i="2" l="1"/>
  <c r="J142" i="7" l="1"/>
  <c r="J141" i="7" s="1"/>
  <c r="H142" i="7"/>
  <c r="H141" i="7" s="1"/>
  <c r="F142" i="7"/>
  <c r="F141" i="7" s="1"/>
  <c r="AD576" i="2"/>
  <c r="F136" i="7" s="1"/>
  <c r="AE577" i="2"/>
  <c r="AF577" i="2"/>
  <c r="AD577" i="2"/>
  <c r="AD86" i="2"/>
  <c r="AD88" i="2"/>
  <c r="AD584" i="2"/>
  <c r="AD582" i="2"/>
  <c r="D405" i="9" l="1"/>
  <c r="D404" i="9" s="1"/>
  <c r="E405" i="9"/>
  <c r="E404" i="9" s="1"/>
  <c r="F405" i="9"/>
  <c r="F404" i="9" s="1"/>
  <c r="J855" i="7"/>
  <c r="F337" i="9" s="1"/>
  <c r="F336" i="9" s="1"/>
  <c r="F335" i="9" s="1"/>
  <c r="H855" i="7"/>
  <c r="H854" i="7" s="1"/>
  <c r="H853" i="7" s="1"/>
  <c r="F855" i="7"/>
  <c r="D337" i="9" s="1"/>
  <c r="D336" i="9" s="1"/>
  <c r="D335" i="9" s="1"/>
  <c r="AE993" i="2"/>
  <c r="AE992" i="2" s="1"/>
  <c r="AF993" i="2"/>
  <c r="AF992" i="2" s="1"/>
  <c r="AD993" i="2"/>
  <c r="AD992" i="2" s="1"/>
  <c r="J479" i="7"/>
  <c r="J478" i="7" s="1"/>
  <c r="J477" i="7" s="1"/>
  <c r="H479" i="7"/>
  <c r="H478" i="7" s="1"/>
  <c r="F479" i="7"/>
  <c r="D597" i="9" s="1"/>
  <c r="D596" i="9" s="1"/>
  <c r="D595" i="9" s="1"/>
  <c r="AE891" i="2"/>
  <c r="AE890" i="2" s="1"/>
  <c r="AF891" i="2"/>
  <c r="AF890" i="2" s="1"/>
  <c r="AD891" i="2"/>
  <c r="AD890" i="2" s="1"/>
  <c r="F854" i="7" l="1"/>
  <c r="F853" i="7" s="1"/>
  <c r="J854" i="7"/>
  <c r="J853" i="7" s="1"/>
  <c r="E337" i="9"/>
  <c r="E336" i="9" s="1"/>
  <c r="E335" i="9" s="1"/>
  <c r="E597" i="9"/>
  <c r="E596" i="9" s="1"/>
  <c r="E595" i="9" s="1"/>
  <c r="H477" i="7"/>
  <c r="F597" i="9"/>
  <c r="F596" i="9" s="1"/>
  <c r="F595" i="9" s="1"/>
  <c r="F478" i="7"/>
  <c r="F477" i="7" s="1"/>
  <c r="J218" i="7"/>
  <c r="F218" i="7"/>
  <c r="AE558" i="2"/>
  <c r="AE557" i="2" s="1"/>
  <c r="AE556" i="2" s="1"/>
  <c r="AE555" i="2" s="1"/>
  <c r="AE554" i="2" s="1"/>
  <c r="AD558" i="2"/>
  <c r="AD557" i="2" s="1"/>
  <c r="AD556" i="2" s="1"/>
  <c r="AD555" i="2" s="1"/>
  <c r="AD554" i="2" s="1"/>
  <c r="AF558" i="2"/>
  <c r="AF557" i="2" s="1"/>
  <c r="AF556" i="2" s="1"/>
  <c r="AF555" i="2" s="1"/>
  <c r="AF554" i="2" s="1"/>
  <c r="G494" i="9"/>
  <c r="H494" i="9"/>
  <c r="I494" i="9"/>
  <c r="J494" i="9"/>
  <c r="K494" i="9"/>
  <c r="L494" i="9"/>
  <c r="M494" i="9"/>
  <c r="N494" i="9"/>
  <c r="O494" i="9"/>
  <c r="P494" i="9"/>
  <c r="Q494" i="9"/>
  <c r="R494" i="9"/>
  <c r="S494" i="9"/>
  <c r="T494" i="9"/>
  <c r="U494" i="9"/>
  <c r="V494" i="9"/>
  <c r="W494" i="9"/>
  <c r="X494" i="9"/>
  <c r="Y494" i="9"/>
  <c r="Z494" i="9"/>
  <c r="AA494" i="9"/>
  <c r="AB494" i="9"/>
  <c r="AC494" i="9"/>
  <c r="AD494" i="9"/>
  <c r="J191" i="7"/>
  <c r="F495" i="9" s="1"/>
  <c r="F494" i="9" s="1"/>
  <c r="H191" i="7"/>
  <c r="E495" i="9" s="1"/>
  <c r="E494" i="9" s="1"/>
  <c r="F191" i="7"/>
  <c r="F190" i="7" s="1"/>
  <c r="AE117" i="2"/>
  <c r="AF117" i="2"/>
  <c r="AD117" i="2"/>
  <c r="AD116" i="2"/>
  <c r="H218" i="7" l="1"/>
  <c r="H190" i="7"/>
  <c r="J190" i="7"/>
  <c r="D495" i="9"/>
  <c r="D494" i="9" s="1"/>
  <c r="G616" i="9" l="1"/>
  <c r="H616" i="9"/>
  <c r="I616" i="9"/>
  <c r="J616" i="9"/>
  <c r="K616" i="9"/>
  <c r="L616" i="9"/>
  <c r="M616" i="9"/>
  <c r="N616" i="9"/>
  <c r="O616" i="9"/>
  <c r="P616" i="9"/>
  <c r="Q616" i="9"/>
  <c r="R616" i="9"/>
  <c r="S616" i="9"/>
  <c r="T616" i="9"/>
  <c r="U616" i="9"/>
  <c r="V616" i="9"/>
  <c r="W616" i="9"/>
  <c r="X616" i="9"/>
  <c r="Y616" i="9"/>
  <c r="Z616" i="9"/>
  <c r="AA616" i="9"/>
  <c r="AB616" i="9"/>
  <c r="AC616" i="9"/>
  <c r="AD616" i="9"/>
  <c r="J272" i="7"/>
  <c r="F322" i="9" s="1"/>
  <c r="F321" i="9" s="1"/>
  <c r="H272" i="7"/>
  <c r="E322" i="9" s="1"/>
  <c r="E321" i="9" s="1"/>
  <c r="J271" i="7" l="1"/>
  <c r="H271" i="7"/>
  <c r="AD195" i="2"/>
  <c r="AE192" i="2"/>
  <c r="AF192" i="2"/>
  <c r="AD193" i="2"/>
  <c r="AD192" i="2" l="1"/>
  <c r="F272" i="7"/>
  <c r="H520" i="7"/>
  <c r="E645" i="9" s="1"/>
  <c r="D322" i="9" l="1"/>
  <c r="D321" i="9" s="1"/>
  <c r="F271" i="7"/>
  <c r="J520" i="7"/>
  <c r="F645" i="9" s="1"/>
  <c r="H519" i="7"/>
  <c r="H518" i="7" s="1"/>
  <c r="G474" i="9"/>
  <c r="H474" i="9"/>
  <c r="I474" i="9"/>
  <c r="J474" i="9"/>
  <c r="K474" i="9"/>
  <c r="L474" i="9"/>
  <c r="M474" i="9"/>
  <c r="N474" i="9"/>
  <c r="O474" i="9"/>
  <c r="P474" i="9"/>
  <c r="Q474" i="9"/>
  <c r="R474" i="9"/>
  <c r="S474" i="9"/>
  <c r="T474" i="9"/>
  <c r="U474" i="9"/>
  <c r="V474" i="9"/>
  <c r="W474" i="9"/>
  <c r="X474" i="9"/>
  <c r="Y474" i="9"/>
  <c r="Z474" i="9"/>
  <c r="AA474" i="9"/>
  <c r="AB474" i="9"/>
  <c r="AC474" i="9"/>
  <c r="AD474" i="9"/>
  <c r="J171" i="7"/>
  <c r="F475" i="9" s="1"/>
  <c r="F474" i="9" s="1"/>
  <c r="H171" i="7"/>
  <c r="E475" i="9" s="1"/>
  <c r="E474" i="9" s="1"/>
  <c r="F171" i="7"/>
  <c r="D475" i="9" s="1"/>
  <c r="D474" i="9" s="1"/>
  <c r="AE99" i="2"/>
  <c r="AF99" i="2"/>
  <c r="AD99" i="2"/>
  <c r="AD98" i="2"/>
  <c r="J519" i="7" l="1"/>
  <c r="J518" i="7" s="1"/>
  <c r="F170" i="7"/>
  <c r="J170" i="7"/>
  <c r="H170" i="7"/>
  <c r="AD902" i="2"/>
  <c r="J583" i="7" l="1"/>
  <c r="J582" i="7" s="1"/>
  <c r="J581" i="7" s="1"/>
  <c r="H583" i="7"/>
  <c r="H582" i="7" s="1"/>
  <c r="H581" i="7" s="1"/>
  <c r="F583" i="7"/>
  <c r="D91" i="9" s="1"/>
  <c r="D90" i="9" s="1"/>
  <c r="D89" i="9" s="1"/>
  <c r="AE642" i="2"/>
  <c r="AE641" i="2" s="1"/>
  <c r="AF642" i="2"/>
  <c r="AF641" i="2" s="1"/>
  <c r="AD642" i="2"/>
  <c r="AD641" i="2" s="1"/>
  <c r="F91" i="9" l="1"/>
  <c r="F90" i="9" s="1"/>
  <c r="F89" i="9" s="1"/>
  <c r="E91" i="9"/>
  <c r="E90" i="9" s="1"/>
  <c r="E89" i="9" s="1"/>
  <c r="F582" i="7"/>
  <c r="F581" i="7" s="1"/>
  <c r="AD895" i="2" l="1"/>
  <c r="AD889" i="2"/>
  <c r="AD323" i="2"/>
  <c r="F520" i="7" s="1"/>
  <c r="F519" i="7" l="1"/>
  <c r="F518" i="7" s="1"/>
  <c r="D645" i="9"/>
  <c r="H438" i="7"/>
  <c r="E465" i="9" s="1"/>
  <c r="E464" i="9" s="1"/>
  <c r="E463" i="9" s="1"/>
  <c r="J438" i="7"/>
  <c r="J437" i="7" s="1"/>
  <c r="F438" i="7"/>
  <c r="F437" i="7" s="1"/>
  <c r="F436" i="7" s="1"/>
  <c r="F435" i="7" s="1"/>
  <c r="F434" i="7" s="1"/>
  <c r="F433" i="7" s="1"/>
  <c r="AE606" i="2"/>
  <c r="AE605" i="2" s="1"/>
  <c r="AE604" i="2" s="1"/>
  <c r="AE603" i="2" s="1"/>
  <c r="AE602" i="2" s="1"/>
  <c r="AE601" i="2" s="1"/>
  <c r="AE600" i="2" s="1"/>
  <c r="AF606" i="2"/>
  <c r="AF605" i="2" s="1"/>
  <c r="AF604" i="2" s="1"/>
  <c r="AF603" i="2" s="1"/>
  <c r="AF602" i="2" s="1"/>
  <c r="AF601" i="2" s="1"/>
  <c r="AF600" i="2" s="1"/>
  <c r="AD606" i="2"/>
  <c r="AD605" i="2" s="1"/>
  <c r="AD604" i="2" s="1"/>
  <c r="AD603" i="2" s="1"/>
  <c r="AD602" i="2" s="1"/>
  <c r="AD601" i="2" s="1"/>
  <c r="AD600" i="2" s="1"/>
  <c r="G593" i="9"/>
  <c r="H593" i="9"/>
  <c r="I593" i="9"/>
  <c r="J593" i="9"/>
  <c r="K593" i="9"/>
  <c r="L593" i="9"/>
  <c r="M593" i="9"/>
  <c r="N593" i="9"/>
  <c r="O593" i="9"/>
  <c r="P593" i="9"/>
  <c r="Q593" i="9"/>
  <c r="R593" i="9"/>
  <c r="S593" i="9"/>
  <c r="T593" i="9"/>
  <c r="U593" i="9"/>
  <c r="V593" i="9"/>
  <c r="W593" i="9"/>
  <c r="X593" i="9"/>
  <c r="Y593" i="9"/>
  <c r="Z593" i="9"/>
  <c r="AA593" i="9"/>
  <c r="AB593" i="9"/>
  <c r="AC593" i="9"/>
  <c r="AD593" i="9"/>
  <c r="J476" i="7"/>
  <c r="J475" i="7" s="1"/>
  <c r="J474" i="7" s="1"/>
  <c r="H476" i="7"/>
  <c r="H475" i="7" s="1"/>
  <c r="H474" i="7" s="1"/>
  <c r="F476" i="7"/>
  <c r="D594" i="9" s="1"/>
  <c r="D593" i="9" s="1"/>
  <c r="D592" i="9" s="1"/>
  <c r="H303" i="7"/>
  <c r="H302" i="7" s="1"/>
  <c r="H301" i="7" s="1"/>
  <c r="H300" i="7" s="1"/>
  <c r="H299" i="7" s="1"/>
  <c r="J303" i="7"/>
  <c r="J302" i="7" s="1"/>
  <c r="J301" i="7" s="1"/>
  <c r="J300" i="7" s="1"/>
  <c r="J299" i="7" s="1"/>
  <c r="F303" i="7"/>
  <c r="D732" i="9" s="1"/>
  <c r="D731" i="9" s="1"/>
  <c r="D730" i="9" s="1"/>
  <c r="AE223" i="2"/>
  <c r="AE222" i="2" s="1"/>
  <c r="AE221" i="2" s="1"/>
  <c r="AE220" i="2" s="1"/>
  <c r="AF223" i="2"/>
  <c r="AF222" i="2" s="1"/>
  <c r="AF221" i="2" s="1"/>
  <c r="AF220" i="2" s="1"/>
  <c r="AD223" i="2"/>
  <c r="AD222" i="2" s="1"/>
  <c r="AD221" i="2" s="1"/>
  <c r="AD220" i="2" s="1"/>
  <c r="AD312" i="2"/>
  <c r="G526" i="9"/>
  <c r="H526" i="9"/>
  <c r="I526" i="9"/>
  <c r="J526" i="9"/>
  <c r="K526" i="9"/>
  <c r="L526" i="9"/>
  <c r="M526" i="9"/>
  <c r="N526" i="9"/>
  <c r="O526" i="9"/>
  <c r="P526" i="9"/>
  <c r="Q526" i="9"/>
  <c r="R526" i="9"/>
  <c r="S526" i="9"/>
  <c r="T526" i="9"/>
  <c r="U526" i="9"/>
  <c r="V526" i="9"/>
  <c r="W526" i="9"/>
  <c r="X526" i="9"/>
  <c r="Y526" i="9"/>
  <c r="Z526" i="9"/>
  <c r="AA526" i="9"/>
  <c r="AB526" i="9"/>
  <c r="AC526" i="9"/>
  <c r="AD526" i="9"/>
  <c r="F528" i="9"/>
  <c r="F527" i="9" s="1"/>
  <c r="F526" i="9" s="1"/>
  <c r="F525" i="9" s="1"/>
  <c r="F524" i="9" s="1"/>
  <c r="E528" i="9"/>
  <c r="E527" i="9" s="1"/>
  <c r="E526" i="9" s="1"/>
  <c r="E525" i="9" s="1"/>
  <c r="E524" i="9" s="1"/>
  <c r="D528" i="9"/>
  <c r="D527" i="9" s="1"/>
  <c r="D526" i="9" s="1"/>
  <c r="D525" i="9" s="1"/>
  <c r="D524" i="9" s="1"/>
  <c r="H715" i="7"/>
  <c r="H714" i="7" s="1"/>
  <c r="H713" i="7" s="1"/>
  <c r="H712" i="7" s="1"/>
  <c r="J715" i="7"/>
  <c r="J714" i="7" s="1"/>
  <c r="J713" i="7" s="1"/>
  <c r="J712" i="7" s="1"/>
  <c r="F715" i="7"/>
  <c r="F714" i="7" s="1"/>
  <c r="F713" i="7" s="1"/>
  <c r="F712" i="7" s="1"/>
  <c r="AE366" i="2"/>
  <c r="AE365" i="2" s="1"/>
  <c r="AE364" i="2" s="1"/>
  <c r="AE363" i="2" s="1"/>
  <c r="AF366" i="2"/>
  <c r="AF365" i="2" s="1"/>
  <c r="AF364" i="2" s="1"/>
  <c r="AF363" i="2" s="1"/>
  <c r="AD366" i="2"/>
  <c r="AD365" i="2" s="1"/>
  <c r="AD364" i="2" s="1"/>
  <c r="AD363" i="2" s="1"/>
  <c r="AD840" i="2"/>
  <c r="AE888" i="2"/>
  <c r="AE887" i="2" s="1"/>
  <c r="AF888" i="2"/>
  <c r="AF887" i="2" s="1"/>
  <c r="AD888" i="2"/>
  <c r="AD887" i="2" s="1"/>
  <c r="AD865" i="2"/>
  <c r="J798" i="7"/>
  <c r="F61" i="9" s="1"/>
  <c r="F60" i="9" s="1"/>
  <c r="F59" i="9" s="1"/>
  <c r="F58" i="9" s="1"/>
  <c r="H798" i="7"/>
  <c r="E61" i="9" s="1"/>
  <c r="E60" i="9" s="1"/>
  <c r="E59" i="9" s="1"/>
  <c r="E58" i="9" s="1"/>
  <c r="F798" i="7"/>
  <c r="F797" i="7" s="1"/>
  <c r="F796" i="7" s="1"/>
  <c r="F795" i="7" s="1"/>
  <c r="AE423" i="2"/>
  <c r="AE422" i="2" s="1"/>
  <c r="AE421" i="2" s="1"/>
  <c r="AF423" i="2"/>
  <c r="AF422" i="2" s="1"/>
  <c r="AF421" i="2" s="1"/>
  <c r="AD423" i="2"/>
  <c r="AD422" i="2" s="1"/>
  <c r="AD421" i="2" s="1"/>
  <c r="AD51" i="2"/>
  <c r="AD20" i="2"/>
  <c r="J436" i="7" l="1"/>
  <c r="J435" i="7" s="1"/>
  <c r="J434" i="7" s="1"/>
  <c r="J433" i="7" s="1"/>
  <c r="F465" i="9"/>
  <c r="F464" i="9" s="1"/>
  <c r="F463" i="9" s="1"/>
  <c r="H437" i="7"/>
  <c r="H436" i="7" s="1"/>
  <c r="H435" i="7" s="1"/>
  <c r="H434" i="7" s="1"/>
  <c r="H433" i="7" s="1"/>
  <c r="D465" i="9"/>
  <c r="D464" i="9" s="1"/>
  <c r="D463" i="9" s="1"/>
  <c r="F475" i="7"/>
  <c r="F474" i="7" s="1"/>
  <c r="E594" i="9"/>
  <c r="E593" i="9" s="1"/>
  <c r="E592" i="9" s="1"/>
  <c r="F594" i="9"/>
  <c r="F593" i="9" s="1"/>
  <c r="F592" i="9" s="1"/>
  <c r="F302" i="7"/>
  <c r="F301" i="7" s="1"/>
  <c r="F300" i="7" s="1"/>
  <c r="F299" i="7" s="1"/>
  <c r="F732" i="9"/>
  <c r="F731" i="9" s="1"/>
  <c r="F730" i="9" s="1"/>
  <c r="E732" i="9"/>
  <c r="E731" i="9" s="1"/>
  <c r="E730" i="9" s="1"/>
  <c r="J797" i="7"/>
  <c r="J796" i="7" s="1"/>
  <c r="J795" i="7" s="1"/>
  <c r="H797" i="7"/>
  <c r="H796" i="7" s="1"/>
  <c r="H795" i="7" s="1"/>
  <c r="D61" i="9"/>
  <c r="D60" i="9" s="1"/>
  <c r="D59" i="9" s="1"/>
  <c r="D58" i="9" s="1"/>
  <c r="AD339" i="2"/>
  <c r="AD254" i="2"/>
  <c r="AD258" i="2"/>
  <c r="G757" i="7"/>
  <c r="I757" i="7"/>
  <c r="J765" i="7"/>
  <c r="F28" i="9" s="1"/>
  <c r="F27" i="9" s="1"/>
  <c r="F26" i="9" s="1"/>
  <c r="F25" i="9" s="1"/>
  <c r="H765" i="7"/>
  <c r="E28" i="9" s="1"/>
  <c r="E27" i="9" s="1"/>
  <c r="E26" i="9" s="1"/>
  <c r="E25" i="9" s="1"/>
  <c r="F765" i="7"/>
  <c r="D28" i="9" s="1"/>
  <c r="D27" i="9" s="1"/>
  <c r="D26" i="9" s="1"/>
  <c r="D25" i="9" s="1"/>
  <c r="AE390" i="2"/>
  <c r="AE389" i="2" s="1"/>
  <c r="AE388" i="2" s="1"/>
  <c r="AF390" i="2"/>
  <c r="AF389" i="2" s="1"/>
  <c r="AF388" i="2" s="1"/>
  <c r="AD390" i="2"/>
  <c r="AD389" i="2" s="1"/>
  <c r="AD388" i="2" s="1"/>
  <c r="AD481" i="2"/>
  <c r="J764" i="7" l="1"/>
  <c r="J763" i="7" s="1"/>
  <c r="J762" i="7" s="1"/>
  <c r="H764" i="7"/>
  <c r="H763" i="7" s="1"/>
  <c r="H762" i="7" s="1"/>
  <c r="F764" i="7"/>
  <c r="F763" i="7" s="1"/>
  <c r="F762" i="7" s="1"/>
  <c r="AD306" i="2"/>
  <c r="AD186" i="2"/>
  <c r="AD162" i="2"/>
  <c r="J596" i="7"/>
  <c r="F131" i="9" s="1"/>
  <c r="F130" i="9" s="1"/>
  <c r="F129" i="9" s="1"/>
  <c r="H596" i="7"/>
  <c r="F596" i="7"/>
  <c r="AF655" i="2"/>
  <c r="AF654" i="2" s="1"/>
  <c r="AF653" i="2" s="1"/>
  <c r="AE655" i="2"/>
  <c r="AE654" i="2" s="1"/>
  <c r="AE653" i="2" s="1"/>
  <c r="AD655" i="2"/>
  <c r="AD654" i="2" s="1"/>
  <c r="AD653" i="2" s="1"/>
  <c r="G596" i="7" l="1"/>
  <c r="G595" i="7" s="1"/>
  <c r="G594" i="7" s="1"/>
  <c r="G593" i="7" s="1"/>
  <c r="D131" i="9"/>
  <c r="D130" i="9" s="1"/>
  <c r="D129" i="9" s="1"/>
  <c r="H595" i="7"/>
  <c r="H594" i="7" s="1"/>
  <c r="H593" i="7" s="1"/>
  <c r="E131" i="9"/>
  <c r="E130" i="9" s="1"/>
  <c r="E129" i="9" s="1"/>
  <c r="J595" i="7"/>
  <c r="J594" i="7" s="1"/>
  <c r="J593" i="7" s="1"/>
  <c r="F595" i="7"/>
  <c r="F594" i="7" s="1"/>
  <c r="F593" i="7" s="1"/>
  <c r="G728" i="9"/>
  <c r="H728" i="9"/>
  <c r="I728" i="9"/>
  <c r="J728" i="9"/>
  <c r="K728" i="9"/>
  <c r="L728" i="9"/>
  <c r="M728" i="9"/>
  <c r="N728" i="9"/>
  <c r="O728" i="9"/>
  <c r="P728" i="9"/>
  <c r="Q728" i="9"/>
  <c r="R728" i="9"/>
  <c r="S728" i="9"/>
  <c r="T728" i="9"/>
  <c r="U728" i="9"/>
  <c r="V728" i="9"/>
  <c r="W728" i="9"/>
  <c r="X728" i="9"/>
  <c r="Y728" i="9"/>
  <c r="Z728" i="9"/>
  <c r="AA728" i="9"/>
  <c r="AB728" i="9"/>
  <c r="AC728" i="9"/>
  <c r="AD728" i="9"/>
  <c r="J215" i="7"/>
  <c r="J214" i="7" s="1"/>
  <c r="J213" i="7" s="1"/>
  <c r="H215" i="7"/>
  <c r="E729" i="9" s="1"/>
  <c r="E728" i="9" s="1"/>
  <c r="E727" i="9" s="1"/>
  <c r="F215" i="7"/>
  <c r="D729" i="9" s="1"/>
  <c r="D728" i="9" s="1"/>
  <c r="D727" i="9" s="1"/>
  <c r="J217" i="7"/>
  <c r="J216" i="7" s="1"/>
  <c r="J212" i="7" l="1"/>
  <c r="F729" i="9"/>
  <c r="F728" i="9" s="1"/>
  <c r="F727" i="9" s="1"/>
  <c r="F214" i="7"/>
  <c r="F213" i="7" s="1"/>
  <c r="H214" i="7"/>
  <c r="H213" i="7" s="1"/>
  <c r="AD181" i="2"/>
  <c r="AD138" i="2" l="1"/>
  <c r="AD137" i="2" s="1"/>
  <c r="AD136" i="2" s="1"/>
  <c r="AF138" i="2"/>
  <c r="AF137" i="2" s="1"/>
  <c r="AF136" i="2" s="1"/>
  <c r="AE138" i="2"/>
  <c r="AE137" i="2" s="1"/>
  <c r="AE136" i="2" s="1"/>
  <c r="AD543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07" i="2"/>
  <c r="AF506" i="2" s="1"/>
  <c r="AF505" i="2" s="1"/>
  <c r="AF504" i="2" s="1"/>
  <c r="AF503" i="2" s="1"/>
  <c r="AE507" i="2"/>
  <c r="AE506" i="2" s="1"/>
  <c r="AE505" i="2" s="1"/>
  <c r="AE504" i="2" s="1"/>
  <c r="AE503" i="2" s="1"/>
  <c r="AD507" i="2"/>
  <c r="AD506" i="2" s="1"/>
  <c r="AD505" i="2" s="1"/>
  <c r="AD504" i="2" s="1"/>
  <c r="AD503" i="2" s="1"/>
  <c r="G713" i="9" l="1"/>
  <c r="H713" i="9"/>
  <c r="I713" i="9"/>
  <c r="J713" i="9"/>
  <c r="K713" i="9"/>
  <c r="L713" i="9"/>
  <c r="M713" i="9"/>
  <c r="N713" i="9"/>
  <c r="O713" i="9"/>
  <c r="P713" i="9"/>
  <c r="Q713" i="9"/>
  <c r="R713" i="9"/>
  <c r="S713" i="9"/>
  <c r="T713" i="9"/>
  <c r="U713" i="9"/>
  <c r="V713" i="9"/>
  <c r="W713" i="9"/>
  <c r="X713" i="9"/>
  <c r="Y713" i="9"/>
  <c r="Z713" i="9"/>
  <c r="AA713" i="9"/>
  <c r="AB713" i="9"/>
  <c r="AC713" i="9"/>
  <c r="AD713" i="9"/>
  <c r="J211" i="7"/>
  <c r="J210" i="7" s="1"/>
  <c r="J209" i="7" s="1"/>
  <c r="H211" i="7"/>
  <c r="H210" i="7" s="1"/>
  <c r="H209" i="7" s="1"/>
  <c r="F211" i="7"/>
  <c r="D722" i="9" s="1"/>
  <c r="D721" i="9" s="1"/>
  <c r="D720" i="9" s="1"/>
  <c r="AE598" i="2"/>
  <c r="AE597" i="2" s="1"/>
  <c r="AE596" i="2" s="1"/>
  <c r="AF598" i="2"/>
  <c r="AF597" i="2" s="1"/>
  <c r="AF596" i="2" s="1"/>
  <c r="AD598" i="2"/>
  <c r="AD597" i="2" s="1"/>
  <c r="AD596" i="2" s="1"/>
  <c r="AD922" i="2"/>
  <c r="J148" i="7"/>
  <c r="H148" i="7"/>
  <c r="F148" i="7"/>
  <c r="AE87" i="2"/>
  <c r="AF87" i="2"/>
  <c r="AD87" i="2"/>
  <c r="AF932" i="2"/>
  <c r="AE932" i="2"/>
  <c r="AD932" i="2"/>
  <c r="AF916" i="2"/>
  <c r="J491" i="7"/>
  <c r="J490" i="7" s="1"/>
  <c r="J489" i="7" s="1"/>
  <c r="H491" i="7"/>
  <c r="H490" i="7" s="1"/>
  <c r="H489" i="7" s="1"/>
  <c r="F491" i="7"/>
  <c r="D609" i="9" s="1"/>
  <c r="D608" i="9" s="1"/>
  <c r="D607" i="9" s="1"/>
  <c r="AF901" i="2"/>
  <c r="AF900" i="2" s="1"/>
  <c r="AE901" i="2"/>
  <c r="AE900" i="2" s="1"/>
  <c r="AD901" i="2"/>
  <c r="AD900" i="2" s="1"/>
  <c r="E722" i="9" l="1"/>
  <c r="E721" i="9" s="1"/>
  <c r="E720" i="9" s="1"/>
  <c r="F722" i="9"/>
  <c r="F721" i="9" s="1"/>
  <c r="F720" i="9" s="1"/>
  <c r="F210" i="7"/>
  <c r="F209" i="7" s="1"/>
  <c r="E609" i="9"/>
  <c r="E608" i="9" s="1"/>
  <c r="E607" i="9" s="1"/>
  <c r="F609" i="9"/>
  <c r="F608" i="9" s="1"/>
  <c r="F607" i="9" s="1"/>
  <c r="F490" i="7"/>
  <c r="F489" i="7" s="1"/>
  <c r="J524" i="7"/>
  <c r="H524" i="7"/>
  <c r="F524" i="7"/>
  <c r="D661" i="9" s="1"/>
  <c r="D660" i="9" s="1"/>
  <c r="D659" i="9" s="1"/>
  <c r="D658" i="9" s="1"/>
  <c r="AF931" i="2"/>
  <c r="AF930" i="2" s="1"/>
  <c r="AF929" i="2" s="1"/>
  <c r="AE931" i="2"/>
  <c r="AE930" i="2" s="1"/>
  <c r="AE929" i="2" s="1"/>
  <c r="AD931" i="2"/>
  <c r="AD930" i="2" s="1"/>
  <c r="AD929" i="2" s="1"/>
  <c r="AF134" i="2"/>
  <c r="AE134" i="2"/>
  <c r="H523" i="7" l="1"/>
  <c r="H522" i="7" s="1"/>
  <c r="H521" i="7" s="1"/>
  <c r="E661" i="9"/>
  <c r="E660" i="9" s="1"/>
  <c r="E659" i="9" s="1"/>
  <c r="E658" i="9" s="1"/>
  <c r="J523" i="7"/>
  <c r="J522" i="7" s="1"/>
  <c r="J521" i="7" s="1"/>
  <c r="F661" i="9"/>
  <c r="F660" i="9" s="1"/>
  <c r="F659" i="9" s="1"/>
  <c r="F658" i="9" s="1"/>
  <c r="F523" i="7"/>
  <c r="F522" i="7" s="1"/>
  <c r="F521" i="7" s="1"/>
  <c r="J502" i="7"/>
  <c r="F624" i="9" s="1"/>
  <c r="F623" i="9" s="1"/>
  <c r="F622" i="9" s="1"/>
  <c r="H502" i="7"/>
  <c r="E624" i="9" s="1"/>
  <c r="E623" i="9" s="1"/>
  <c r="E622" i="9" s="1"/>
  <c r="F502" i="7"/>
  <c r="D624" i="9" s="1"/>
  <c r="D623" i="9" s="1"/>
  <c r="D622" i="9" s="1"/>
  <c r="H421" i="7"/>
  <c r="H420" i="7" s="1"/>
  <c r="H419" i="7" s="1"/>
  <c r="J421" i="7"/>
  <c r="J420" i="7" s="1"/>
  <c r="J419" i="7" s="1"/>
  <c r="F421" i="7"/>
  <c r="F420" i="7" s="1"/>
  <c r="F419" i="7" s="1"/>
  <c r="F217" i="7"/>
  <c r="F216" i="7" s="1"/>
  <c r="F212" i="7" s="1"/>
  <c r="AE864" i="2"/>
  <c r="AE863" i="2" s="1"/>
  <c r="AF864" i="2"/>
  <c r="AF863" i="2" s="1"/>
  <c r="AD864" i="2"/>
  <c r="AD863" i="2" s="1"/>
  <c r="AE912" i="2"/>
  <c r="AE911" i="2" s="1"/>
  <c r="AF912" i="2"/>
  <c r="AF911" i="2" s="1"/>
  <c r="AD912" i="2"/>
  <c r="AD911" i="2" s="1"/>
  <c r="AD822" i="2"/>
  <c r="AD247" i="2"/>
  <c r="E382" i="9" l="1"/>
  <c r="E381" i="9" s="1"/>
  <c r="E380" i="9" s="1"/>
  <c r="F501" i="7"/>
  <c r="F500" i="7" s="1"/>
  <c r="H501" i="7"/>
  <c r="H500" i="7" s="1"/>
  <c r="J501" i="7"/>
  <c r="J500" i="7" s="1"/>
  <c r="D382" i="9"/>
  <c r="D381" i="9" s="1"/>
  <c r="D380" i="9" s="1"/>
  <c r="F382" i="9"/>
  <c r="F381" i="9" s="1"/>
  <c r="F380" i="9" s="1"/>
  <c r="G352" i="9" l="1"/>
  <c r="H352" i="9"/>
  <c r="I352" i="9"/>
  <c r="J352" i="9"/>
  <c r="K352" i="9"/>
  <c r="L352" i="9"/>
  <c r="M352" i="9"/>
  <c r="N352" i="9"/>
  <c r="O352" i="9"/>
  <c r="P352" i="9"/>
  <c r="Q352" i="9"/>
  <c r="R352" i="9"/>
  <c r="S352" i="9"/>
  <c r="T352" i="9"/>
  <c r="U352" i="9"/>
  <c r="V352" i="9"/>
  <c r="W352" i="9"/>
  <c r="X352" i="9"/>
  <c r="Y352" i="9"/>
  <c r="Z352" i="9"/>
  <c r="AA352" i="9"/>
  <c r="AB352" i="9"/>
  <c r="AC352" i="9"/>
  <c r="AD352" i="9"/>
  <c r="AD219" i="2" l="1"/>
  <c r="J883" i="7" l="1"/>
  <c r="F233" i="9" s="1"/>
  <c r="H883" i="7"/>
  <c r="E233" i="9" s="1"/>
  <c r="F883" i="7"/>
  <c r="J884" i="7"/>
  <c r="H884" i="7"/>
  <c r="F884" i="7"/>
  <c r="D234" i="9" s="1"/>
  <c r="AF481" i="2"/>
  <c r="AE481" i="2"/>
  <c r="AE482" i="2"/>
  <c r="AF482" i="2"/>
  <c r="AD482" i="2"/>
  <c r="F882" i="7" l="1"/>
  <c r="H882" i="7"/>
  <c r="D233" i="9"/>
  <c r="D232" i="9" s="1"/>
  <c r="J882" i="7"/>
  <c r="E234" i="9"/>
  <c r="E232" i="9" s="1"/>
  <c r="F234" i="9"/>
  <c r="F232" i="9" s="1"/>
  <c r="J136" i="7"/>
  <c r="H136" i="7"/>
  <c r="AE804" i="2"/>
  <c r="AE803" i="2" s="1"/>
  <c r="AE802" i="2" s="1"/>
  <c r="AE801" i="2" s="1"/>
  <c r="AE800" i="2" s="1"/>
  <c r="AE799" i="2" s="1"/>
  <c r="AF804" i="2"/>
  <c r="AF803" i="2" s="1"/>
  <c r="AF802" i="2" s="1"/>
  <c r="AF801" i="2" s="1"/>
  <c r="AF800" i="2" s="1"/>
  <c r="AF799" i="2" s="1"/>
  <c r="AD804" i="2"/>
  <c r="AD803" i="2" s="1"/>
  <c r="AD802" i="2" s="1"/>
  <c r="AD801" i="2" s="1"/>
  <c r="AD800" i="2" s="1"/>
  <c r="AD799" i="2" s="1"/>
  <c r="G15" i="9" l="1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17" i="7"/>
  <c r="H817" i="7"/>
  <c r="H816" i="7" s="1"/>
  <c r="H815" i="7" s="1"/>
  <c r="H814" i="7" s="1"/>
  <c r="H813" i="7" s="1"/>
  <c r="H812" i="7" s="1"/>
  <c r="H811" i="7" s="1"/>
  <c r="F817" i="7"/>
  <c r="F816" i="7" s="1"/>
  <c r="F815" i="7" s="1"/>
  <c r="F814" i="7" s="1"/>
  <c r="F813" i="7" s="1"/>
  <c r="F812" i="7" s="1"/>
  <c r="F811" i="7" s="1"/>
  <c r="AD442" i="2"/>
  <c r="AD441" i="2" s="1"/>
  <c r="AD440" i="2" s="1"/>
  <c r="AD439" i="2" s="1"/>
  <c r="AD438" i="2" s="1"/>
  <c r="AD437" i="2" s="1"/>
  <c r="AD436" i="2" s="1"/>
  <c r="AF442" i="2"/>
  <c r="AF441" i="2" s="1"/>
  <c r="AF440" i="2" s="1"/>
  <c r="AF439" i="2" s="1"/>
  <c r="AF438" i="2" s="1"/>
  <c r="AF437" i="2" s="1"/>
  <c r="AF436" i="2" s="1"/>
  <c r="AE442" i="2"/>
  <c r="AE441" i="2" s="1"/>
  <c r="AE440" i="2" s="1"/>
  <c r="AE439" i="2" s="1"/>
  <c r="AE438" i="2" s="1"/>
  <c r="AE437" i="2" s="1"/>
  <c r="AE436" i="2" s="1"/>
  <c r="F810" i="7" l="1"/>
  <c r="D54" i="10"/>
  <c r="D53" i="10" s="1"/>
  <c r="H810" i="7"/>
  <c r="E54" i="10"/>
  <c r="E53" i="10" s="1"/>
  <c r="J816" i="7"/>
  <c r="J815" i="7" s="1"/>
  <c r="J814" i="7" s="1"/>
  <c r="J813" i="7" s="1"/>
  <c r="J812" i="7" s="1"/>
  <c r="J811" i="7" s="1"/>
  <c r="J810" i="7" s="1"/>
  <c r="F54" i="10"/>
  <c r="F53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J782" i="7"/>
  <c r="F45" i="9" s="1"/>
  <c r="F44" i="9" s="1"/>
  <c r="H782" i="7"/>
  <c r="E45" i="9" s="1"/>
  <c r="E44" i="9" s="1"/>
  <c r="F782" i="7"/>
  <c r="D45" i="9" s="1"/>
  <c r="D44" i="9" s="1"/>
  <c r="AE407" i="2"/>
  <c r="AF407" i="2"/>
  <c r="AD407" i="2"/>
  <c r="F781" i="7" l="1"/>
  <c r="J781" i="7"/>
  <c r="H781" i="7"/>
  <c r="J561" i="7"/>
  <c r="J560" i="7" s="1"/>
  <c r="J559" i="7" s="1"/>
  <c r="J558" i="7" s="1"/>
  <c r="H561" i="7"/>
  <c r="E356" i="9" s="1"/>
  <c r="E355" i="9" s="1"/>
  <c r="E354" i="9" s="1"/>
  <c r="E353" i="9" s="1"/>
  <c r="F561" i="7"/>
  <c r="D356" i="9" s="1"/>
  <c r="D355" i="9" s="1"/>
  <c r="D354" i="9" s="1"/>
  <c r="D353" i="9" s="1"/>
  <c r="AE968" i="2"/>
  <c r="AE967" i="2" s="1"/>
  <c r="AF968" i="2"/>
  <c r="AF967" i="2" s="1"/>
  <c r="AD968" i="2"/>
  <c r="AD967" i="2" s="1"/>
  <c r="G598" i="9"/>
  <c r="G591" i="9" s="1"/>
  <c r="H598" i="9"/>
  <c r="H591" i="9" s="1"/>
  <c r="I598" i="9"/>
  <c r="I591" i="9" s="1"/>
  <c r="J598" i="9"/>
  <c r="J591" i="9" s="1"/>
  <c r="K598" i="9"/>
  <c r="K591" i="9" s="1"/>
  <c r="L598" i="9"/>
  <c r="L591" i="9" s="1"/>
  <c r="M598" i="9"/>
  <c r="M591" i="9" s="1"/>
  <c r="N598" i="9"/>
  <c r="N591" i="9" s="1"/>
  <c r="O598" i="9"/>
  <c r="O591" i="9" s="1"/>
  <c r="P598" i="9"/>
  <c r="P591" i="9" s="1"/>
  <c r="Q598" i="9"/>
  <c r="Q591" i="9" s="1"/>
  <c r="R598" i="9"/>
  <c r="R591" i="9" s="1"/>
  <c r="S598" i="9"/>
  <c r="S591" i="9" s="1"/>
  <c r="T598" i="9"/>
  <c r="T591" i="9" s="1"/>
  <c r="U598" i="9"/>
  <c r="U591" i="9" s="1"/>
  <c r="V598" i="9"/>
  <c r="V591" i="9" s="1"/>
  <c r="W598" i="9"/>
  <c r="W591" i="9" s="1"/>
  <c r="X598" i="9"/>
  <c r="X591" i="9" s="1"/>
  <c r="Y598" i="9"/>
  <c r="Y591" i="9" s="1"/>
  <c r="Z598" i="9"/>
  <c r="Z591" i="9" s="1"/>
  <c r="AA598" i="9"/>
  <c r="AA591" i="9" s="1"/>
  <c r="AB598" i="9"/>
  <c r="AB591" i="9" s="1"/>
  <c r="AC598" i="9"/>
  <c r="AC591" i="9" s="1"/>
  <c r="AD598" i="9"/>
  <c r="AD591" i="9" s="1"/>
  <c r="J482" i="7"/>
  <c r="J481" i="7" s="1"/>
  <c r="J480" i="7" s="1"/>
  <c r="H482" i="7"/>
  <c r="H481" i="7" s="1"/>
  <c r="H480" i="7" s="1"/>
  <c r="F482" i="7"/>
  <c r="F481" i="7" s="1"/>
  <c r="F480" i="7" s="1"/>
  <c r="AE894" i="2"/>
  <c r="AE893" i="2" s="1"/>
  <c r="AF894" i="2"/>
  <c r="AF893" i="2" s="1"/>
  <c r="AD894" i="2"/>
  <c r="AD893" i="2" s="1"/>
  <c r="F356" i="9" l="1"/>
  <c r="F355" i="9" s="1"/>
  <c r="F354" i="9" s="1"/>
  <c r="F353" i="9" s="1"/>
  <c r="F560" i="7"/>
  <c r="F559" i="7" s="1"/>
  <c r="F558" i="7" s="1"/>
  <c r="H560" i="7"/>
  <c r="H559" i="7" s="1"/>
  <c r="H558" i="7" s="1"/>
  <c r="D600" i="9"/>
  <c r="D599" i="9" s="1"/>
  <c r="D598" i="9" s="1"/>
  <c r="F600" i="9"/>
  <c r="F599" i="9" s="1"/>
  <c r="F598" i="9" s="1"/>
  <c r="E600" i="9"/>
  <c r="E599" i="9" s="1"/>
  <c r="E598" i="9" s="1"/>
  <c r="H217" i="7" l="1"/>
  <c r="H216" i="7" s="1"/>
  <c r="H212" i="7" s="1"/>
  <c r="AD435" i="2"/>
  <c r="J707" i="7" l="1"/>
  <c r="J706" i="7" s="1"/>
  <c r="H707" i="7"/>
  <c r="H706" i="7" s="1"/>
  <c r="F707" i="7"/>
  <c r="F706" i="7" s="1"/>
  <c r="AE361" i="2"/>
  <c r="AF361" i="2"/>
  <c r="AD361" i="2"/>
  <c r="AF360" i="2"/>
  <c r="AE360" i="2"/>
  <c r="AD360" i="2"/>
  <c r="J267" i="7"/>
  <c r="J266" i="7" s="1"/>
  <c r="H267" i="7"/>
  <c r="H266" i="7" s="1"/>
  <c r="F267" i="7"/>
  <c r="D317" i="9" s="1"/>
  <c r="D316" i="9" s="1"/>
  <c r="AE187" i="2"/>
  <c r="AF187" i="2"/>
  <c r="AD187" i="2"/>
  <c r="D519" i="9" l="1"/>
  <c r="D518" i="9" s="1"/>
  <c r="F266" i="7"/>
  <c r="E519" i="9"/>
  <c r="E518" i="9" s="1"/>
  <c r="F519" i="9"/>
  <c r="F518" i="9" s="1"/>
  <c r="E317" i="9"/>
  <c r="E316" i="9" s="1"/>
  <c r="F317" i="9"/>
  <c r="F316" i="9" s="1"/>
  <c r="AD709" i="2"/>
  <c r="K775" i="7" l="1"/>
  <c r="K774" i="7" s="1"/>
  <c r="K767" i="7" s="1"/>
  <c r="K766" i="7" s="1"/>
  <c r="K756" i="7" s="1"/>
  <c r="K755" i="7" s="1"/>
  <c r="K754" i="7" s="1"/>
  <c r="AF997" i="2" l="1"/>
  <c r="AE997" i="2"/>
  <c r="AD997" i="2"/>
  <c r="J653" i="7"/>
  <c r="J652" i="7" s="1"/>
  <c r="J651" i="7" s="1"/>
  <c r="H653" i="7"/>
  <c r="E153" i="9" s="1"/>
  <c r="E152" i="9" s="1"/>
  <c r="E151" i="9" s="1"/>
  <c r="F653" i="7"/>
  <c r="D153" i="9" s="1"/>
  <c r="D152" i="9" s="1"/>
  <c r="D151" i="9" s="1"/>
  <c r="AE712" i="2"/>
  <c r="AE711" i="2" s="1"/>
  <c r="AF712" i="2"/>
  <c r="AF711" i="2" s="1"/>
  <c r="AD712" i="2"/>
  <c r="AD711" i="2" s="1"/>
  <c r="AF675" i="2"/>
  <c r="AD675" i="2"/>
  <c r="AE675" i="2"/>
  <c r="AF646" i="2"/>
  <c r="AE646" i="2"/>
  <c r="AD646" i="2"/>
  <c r="F149" i="9"/>
  <c r="F148" i="9" s="1"/>
  <c r="F147" i="9" s="1"/>
  <c r="F146" i="9" s="1"/>
  <c r="G648" i="7"/>
  <c r="G647" i="7" s="1"/>
  <c r="G646" i="7" s="1"/>
  <c r="J649" i="7"/>
  <c r="J648" i="7" s="1"/>
  <c r="J647" i="7" s="1"/>
  <c r="J646" i="7" s="1"/>
  <c r="H649" i="7"/>
  <c r="H648" i="7" s="1"/>
  <c r="H647" i="7" s="1"/>
  <c r="H646" i="7" s="1"/>
  <c r="F649" i="7"/>
  <c r="D149" i="9" s="1"/>
  <c r="D148" i="9" s="1"/>
  <c r="D147" i="9" s="1"/>
  <c r="D146" i="9" s="1"/>
  <c r="AE708" i="2"/>
  <c r="AE707" i="2" s="1"/>
  <c r="AE706" i="2" s="1"/>
  <c r="AF708" i="2"/>
  <c r="AF707" i="2" s="1"/>
  <c r="AF706" i="2" s="1"/>
  <c r="AD708" i="2"/>
  <c r="AD707" i="2" s="1"/>
  <c r="AD706" i="2" s="1"/>
  <c r="K630" i="7"/>
  <c r="K629" i="7" s="1"/>
  <c r="J670" i="7"/>
  <c r="F74" i="9" s="1"/>
  <c r="F73" i="9" s="1"/>
  <c r="F72" i="9" s="1"/>
  <c r="F71" i="9" s="1"/>
  <c r="H670" i="7"/>
  <c r="H669" i="7" s="1"/>
  <c r="H668" i="7" s="1"/>
  <c r="H667" i="7" s="1"/>
  <c r="F670" i="7"/>
  <c r="G670" i="7" s="1"/>
  <c r="G669" i="7" s="1"/>
  <c r="G668" i="7" s="1"/>
  <c r="G667" i="7" s="1"/>
  <c r="AE342" i="2"/>
  <c r="AE341" i="2" s="1"/>
  <c r="AE340" i="2" s="1"/>
  <c r="AF342" i="2"/>
  <c r="AF341" i="2" s="1"/>
  <c r="AF340" i="2" s="1"/>
  <c r="AD342" i="2"/>
  <c r="AD341" i="2" s="1"/>
  <c r="AD340" i="2" s="1"/>
  <c r="G673" i="7"/>
  <c r="G672" i="7" s="1"/>
  <c r="G671" i="7" s="1"/>
  <c r="J674" i="7"/>
  <c r="J673" i="7" s="1"/>
  <c r="J672" i="7" s="1"/>
  <c r="J671" i="7" s="1"/>
  <c r="H674" i="7"/>
  <c r="H673" i="7" s="1"/>
  <c r="H672" i="7" s="1"/>
  <c r="H671" i="7" s="1"/>
  <c r="AE346" i="2"/>
  <c r="AE345" i="2" s="1"/>
  <c r="AE344" i="2" s="1"/>
  <c r="AF346" i="2"/>
  <c r="AF345" i="2" s="1"/>
  <c r="AF344" i="2" s="1"/>
  <c r="AD347" i="2"/>
  <c r="F674" i="7" s="1"/>
  <c r="F673" i="7" s="1"/>
  <c r="F672" i="7" s="1"/>
  <c r="F671" i="7" s="1"/>
  <c r="AF402" i="2"/>
  <c r="AE402" i="2"/>
  <c r="AD402" i="2"/>
  <c r="AD346" i="2" l="1"/>
  <c r="AD345" i="2" s="1"/>
  <c r="AD344" i="2" s="1"/>
  <c r="F652" i="7"/>
  <c r="F651" i="7" s="1"/>
  <c r="G653" i="7"/>
  <c r="G652" i="7" s="1"/>
  <c r="G651" i="7" s="1"/>
  <c r="I653" i="7"/>
  <c r="I652" i="7" s="1"/>
  <c r="I651" i="7" s="1"/>
  <c r="F153" i="9"/>
  <c r="F152" i="9" s="1"/>
  <c r="F151" i="9" s="1"/>
  <c r="K653" i="7"/>
  <c r="K652" i="7" s="1"/>
  <c r="K651" i="7" s="1"/>
  <c r="H652" i="7"/>
  <c r="H651" i="7" s="1"/>
  <c r="F648" i="7"/>
  <c r="F647" i="7" s="1"/>
  <c r="F646" i="7" s="1"/>
  <c r="E149" i="9"/>
  <c r="E148" i="9" s="1"/>
  <c r="E147" i="9" s="1"/>
  <c r="E146" i="9" s="1"/>
  <c r="G662" i="7"/>
  <c r="F669" i="7"/>
  <c r="F668" i="7" s="1"/>
  <c r="F667" i="7" s="1"/>
  <c r="D74" i="9"/>
  <c r="D73" i="9" s="1"/>
  <c r="D72" i="9" s="1"/>
  <c r="D71" i="9" s="1"/>
  <c r="E74" i="9"/>
  <c r="E73" i="9" s="1"/>
  <c r="E72" i="9" s="1"/>
  <c r="E71" i="9" s="1"/>
  <c r="J669" i="7"/>
  <c r="J668" i="7" s="1"/>
  <c r="J667" i="7" s="1"/>
  <c r="E78" i="9"/>
  <c r="E77" i="9" s="1"/>
  <c r="E76" i="9" s="1"/>
  <c r="E75" i="9" s="1"/>
  <c r="F78" i="9"/>
  <c r="F77" i="9" s="1"/>
  <c r="F76" i="9" s="1"/>
  <c r="F75" i="9" s="1"/>
  <c r="D78" i="9"/>
  <c r="D77" i="9" s="1"/>
  <c r="D76" i="9" s="1"/>
  <c r="D75" i="9" s="1"/>
  <c r="AF691" i="2" l="1"/>
  <c r="AD691" i="2"/>
  <c r="AE861" i="2" l="1"/>
  <c r="AE908" i="2"/>
  <c r="H863" i="7" l="1"/>
  <c r="H862" i="7" s="1"/>
  <c r="H861" i="7" s="1"/>
  <c r="H860" i="7" s="1"/>
  <c r="H859" i="7" s="1"/>
  <c r="G661" i="7" l="1"/>
  <c r="G229" i="9"/>
  <c r="H229" i="9"/>
  <c r="I229" i="9"/>
  <c r="J229" i="9"/>
  <c r="K229" i="9"/>
  <c r="L229" i="9"/>
  <c r="M229" i="9"/>
  <c r="N229" i="9"/>
  <c r="O229" i="9"/>
  <c r="P229" i="9"/>
  <c r="Q229" i="9"/>
  <c r="R229" i="9"/>
  <c r="S229" i="9"/>
  <c r="T229" i="9"/>
  <c r="U229" i="9"/>
  <c r="V229" i="9"/>
  <c r="W229" i="9"/>
  <c r="X229" i="9"/>
  <c r="Y229" i="9"/>
  <c r="Z229" i="9"/>
  <c r="AA229" i="9"/>
  <c r="AB229" i="9"/>
  <c r="AC229" i="9"/>
  <c r="AD229" i="9"/>
  <c r="AF852" i="2" l="1"/>
  <c r="G122" i="9" l="1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D882" i="2"/>
  <c r="AF546" i="2" l="1"/>
  <c r="AE546" i="2"/>
  <c r="AD546" i="2"/>
  <c r="I407" i="7" l="1"/>
  <c r="I406" i="7" s="1"/>
  <c r="K407" i="7"/>
  <c r="K406" i="7" s="1"/>
  <c r="J408" i="7"/>
  <c r="I410" i="7"/>
  <c r="I409" i="7" s="1"/>
  <c r="K410" i="7"/>
  <c r="K409" i="7" s="1"/>
  <c r="F408" i="7"/>
  <c r="F407" i="7" s="1"/>
  <c r="F411" i="7"/>
  <c r="F410" i="7" s="1"/>
  <c r="F409" i="7" s="1"/>
  <c r="I405" i="7" l="1"/>
  <c r="K405" i="7"/>
  <c r="F369" i="9"/>
  <c r="F368" i="9" s="1"/>
  <c r="F367" i="9" s="1"/>
  <c r="D372" i="9"/>
  <c r="D371" i="9" s="1"/>
  <c r="D370" i="9" s="1"/>
  <c r="J407" i="7"/>
  <c r="J406" i="7" s="1"/>
  <c r="D369" i="9"/>
  <c r="D368" i="9" s="1"/>
  <c r="D367" i="9" s="1"/>
  <c r="D366" i="9" s="1"/>
  <c r="AE852" i="2"/>
  <c r="H408" i="7" s="1"/>
  <c r="E369" i="9" s="1"/>
  <c r="E368" i="9" s="1"/>
  <c r="E367" i="9" s="1"/>
  <c r="AD854" i="2"/>
  <c r="AD853" i="2" s="1"/>
  <c r="AF855" i="2"/>
  <c r="J411" i="7" s="1"/>
  <c r="F372" i="9" s="1"/>
  <c r="F371" i="9" s="1"/>
  <c r="F370" i="9" s="1"/>
  <c r="AE855" i="2"/>
  <c r="AF42" i="2"/>
  <c r="AF40" i="2"/>
  <c r="AF39" i="2" l="1"/>
  <c r="F366" i="9"/>
  <c r="H407" i="7"/>
  <c r="H406" i="7" s="1"/>
  <c r="AE854" i="2"/>
  <c r="AE853" i="2" s="1"/>
  <c r="H411" i="7"/>
  <c r="J410" i="7"/>
  <c r="J409" i="7" s="1"/>
  <c r="J405" i="7" s="1"/>
  <c r="AF854" i="2"/>
  <c r="AF853" i="2" s="1"/>
  <c r="E372" i="9" l="1"/>
  <c r="E371" i="9" s="1"/>
  <c r="E370" i="9" s="1"/>
  <c r="E366" i="9" s="1"/>
  <c r="H410" i="7"/>
  <c r="H409" i="7" s="1"/>
  <c r="H405" i="7" s="1"/>
  <c r="AE42" i="2"/>
  <c r="AE40" i="2"/>
  <c r="G397" i="9"/>
  <c r="H397" i="9"/>
  <c r="I397" i="9"/>
  <c r="J397" i="9"/>
  <c r="K397" i="9"/>
  <c r="L397" i="9"/>
  <c r="M397" i="9"/>
  <c r="N397" i="9"/>
  <c r="O397" i="9"/>
  <c r="P397" i="9"/>
  <c r="Q397" i="9"/>
  <c r="R397" i="9"/>
  <c r="S397" i="9"/>
  <c r="T397" i="9"/>
  <c r="U397" i="9"/>
  <c r="V397" i="9"/>
  <c r="W397" i="9"/>
  <c r="X397" i="9"/>
  <c r="Y397" i="9"/>
  <c r="Z397" i="9"/>
  <c r="AA397" i="9"/>
  <c r="AB397" i="9"/>
  <c r="AC397" i="9"/>
  <c r="AD397" i="9"/>
  <c r="F784" i="7"/>
  <c r="AE39" i="2" l="1"/>
  <c r="AF822" i="2"/>
  <c r="AE822" i="2"/>
  <c r="G538" i="9" l="1"/>
  <c r="H538" i="9"/>
  <c r="I538" i="9"/>
  <c r="J538" i="9"/>
  <c r="K538" i="9"/>
  <c r="L538" i="9"/>
  <c r="M538" i="9"/>
  <c r="N538" i="9"/>
  <c r="O538" i="9"/>
  <c r="P538" i="9"/>
  <c r="Q538" i="9"/>
  <c r="R538" i="9"/>
  <c r="S538" i="9"/>
  <c r="T538" i="9"/>
  <c r="U538" i="9"/>
  <c r="V538" i="9"/>
  <c r="W538" i="9"/>
  <c r="X538" i="9"/>
  <c r="Y538" i="9"/>
  <c r="Z538" i="9"/>
  <c r="AA538" i="9"/>
  <c r="AB538" i="9"/>
  <c r="AC538" i="9"/>
  <c r="AD538" i="9"/>
  <c r="J340" i="7"/>
  <c r="H340" i="7"/>
  <c r="F340" i="7"/>
  <c r="F339" i="7" s="1"/>
  <c r="F338" i="7" s="1"/>
  <c r="F337" i="7" s="1"/>
  <c r="F336" i="7" s="1"/>
  <c r="H335" i="7"/>
  <c r="H334" i="7" s="1"/>
  <c r="J335" i="7"/>
  <c r="J334" i="7" s="1"/>
  <c r="F335" i="7"/>
  <c r="AE821" i="2"/>
  <c r="AE820" i="2" s="1"/>
  <c r="AE819" i="2" s="1"/>
  <c r="AE818" i="2" s="1"/>
  <c r="AF821" i="2"/>
  <c r="AF820" i="2" s="1"/>
  <c r="AF819" i="2" s="1"/>
  <c r="AF818" i="2" s="1"/>
  <c r="AD821" i="2" l="1"/>
  <c r="AD820" i="2" s="1"/>
  <c r="AD819" i="2" s="1"/>
  <c r="AD818" i="2" s="1"/>
  <c r="D554" i="9"/>
  <c r="D553" i="9" s="1"/>
  <c r="D552" i="9" s="1"/>
  <c r="D551" i="9" s="1"/>
  <c r="D550" i="9" s="1"/>
  <c r="E549" i="9"/>
  <c r="F549" i="9"/>
  <c r="F334" i="7"/>
  <c r="D549" i="9"/>
  <c r="F554" i="9"/>
  <c r="F553" i="9" s="1"/>
  <c r="F552" i="9" s="1"/>
  <c r="F551" i="9" s="1"/>
  <c r="F550" i="9" s="1"/>
  <c r="J339" i="7"/>
  <c r="J338" i="7" s="1"/>
  <c r="J337" i="7" s="1"/>
  <c r="J336" i="7" s="1"/>
  <c r="E554" i="9"/>
  <c r="E553" i="9" s="1"/>
  <c r="E552" i="9" s="1"/>
  <c r="E551" i="9" s="1"/>
  <c r="E550" i="9" s="1"/>
  <c r="H339" i="7"/>
  <c r="H338" i="7" s="1"/>
  <c r="H337" i="7" s="1"/>
  <c r="H336" i="7" s="1"/>
  <c r="J146" i="7"/>
  <c r="H146" i="7"/>
  <c r="J470" i="7"/>
  <c r="H470" i="7"/>
  <c r="F470" i="7" l="1"/>
  <c r="D588" i="9" s="1"/>
  <c r="AE311" i="2"/>
  <c r="AE310" i="2" s="1"/>
  <c r="AE309" i="2" s="1"/>
  <c r="AE308" i="2" s="1"/>
  <c r="AE307" i="2" s="1"/>
  <c r="AE305" i="2"/>
  <c r="AE304" i="2" s="1"/>
  <c r="AE303" i="2" s="1"/>
  <c r="AE302" i="2" s="1"/>
  <c r="AF113" i="2" l="1"/>
  <c r="AE261" i="2"/>
  <c r="AE260" i="2" s="1"/>
  <c r="AE259" i="2" s="1"/>
  <c r="AE257" i="2"/>
  <c r="AE256" i="2" s="1"/>
  <c r="AE255" i="2" s="1"/>
  <c r="AE253" i="2"/>
  <c r="AE252" i="2" s="1"/>
  <c r="AE251" i="2" s="1"/>
  <c r="AD257" i="2"/>
  <c r="AD256" i="2" s="1"/>
  <c r="AD255" i="2" s="1"/>
  <c r="AD261" i="2"/>
  <c r="AD260" i="2" s="1"/>
  <c r="AD259" i="2" s="1"/>
  <c r="F358" i="7"/>
  <c r="F362" i="7"/>
  <c r="F361" i="7" s="1"/>
  <c r="F360" i="7" s="1"/>
  <c r="F359" i="7" s="1"/>
  <c r="F366" i="7" l="1"/>
  <c r="F365" i="7" s="1"/>
  <c r="F364" i="7" s="1"/>
  <c r="F363" i="7" s="1"/>
  <c r="J571" i="7" l="1"/>
  <c r="J570" i="7" s="1"/>
  <c r="J569" i="7" s="1"/>
  <c r="J568" i="7" s="1"/>
  <c r="J567" i="7" s="1"/>
  <c r="J566" i="7" s="1"/>
  <c r="J565" i="7" s="1"/>
  <c r="F44" i="10" s="1"/>
  <c r="H571" i="7"/>
  <c r="H570" i="7" s="1"/>
  <c r="H569" i="7" s="1"/>
  <c r="H568" i="7" s="1"/>
  <c r="H567" i="7" s="1"/>
  <c r="H566" i="7" s="1"/>
  <c r="H565" i="7" s="1"/>
  <c r="E44" i="10" s="1"/>
  <c r="F571" i="7"/>
  <c r="F570" i="7" s="1"/>
  <c r="F569" i="7" s="1"/>
  <c r="F568" i="7" s="1"/>
  <c r="F567" i="7" s="1"/>
  <c r="F566" i="7" s="1"/>
  <c r="F565" i="7" s="1"/>
  <c r="D44" i="10" s="1"/>
  <c r="AF330" i="2"/>
  <c r="AF329" i="2" s="1"/>
  <c r="AF328" i="2" s="1"/>
  <c r="AF327" i="2" s="1"/>
  <c r="AF326" i="2" s="1"/>
  <c r="AF325" i="2" s="1"/>
  <c r="AF324" i="2" s="1"/>
  <c r="AE330" i="2"/>
  <c r="AE329" i="2" s="1"/>
  <c r="AE328" i="2" s="1"/>
  <c r="AE327" i="2" s="1"/>
  <c r="AE326" i="2" s="1"/>
  <c r="AE325" i="2" s="1"/>
  <c r="AE324" i="2" s="1"/>
  <c r="AD330" i="2"/>
  <c r="AD329" i="2" s="1"/>
  <c r="AD328" i="2" s="1"/>
  <c r="AD327" i="2" s="1"/>
  <c r="AD326" i="2" s="1"/>
  <c r="AD325" i="2" s="1"/>
  <c r="AD324" i="2" s="1"/>
  <c r="D257" i="9" l="1"/>
  <c r="D256" i="9" s="1"/>
  <c r="D255" i="9" s="1"/>
  <c r="D254" i="9" s="1"/>
  <c r="D253" i="9" s="1"/>
  <c r="D252" i="9" s="1"/>
  <c r="E257" i="9"/>
  <c r="E256" i="9" s="1"/>
  <c r="E255" i="9" s="1"/>
  <c r="E254" i="9" s="1"/>
  <c r="E253" i="9" s="1"/>
  <c r="E252" i="9" s="1"/>
  <c r="F257" i="9"/>
  <c r="F256" i="9" s="1"/>
  <c r="F255" i="9" s="1"/>
  <c r="F254" i="9" s="1"/>
  <c r="F253" i="9" s="1"/>
  <c r="F252" i="9" s="1"/>
  <c r="AE434" i="2" l="1"/>
  <c r="AE433" i="2" s="1"/>
  <c r="AE432" i="2" s="1"/>
  <c r="AE431" i="2" s="1"/>
  <c r="AE430" i="2" s="1"/>
  <c r="AE429" i="2" s="1"/>
  <c r="AF434" i="2"/>
  <c r="AF433" i="2" s="1"/>
  <c r="AF432" i="2" s="1"/>
  <c r="AF431" i="2" s="1"/>
  <c r="AF430" i="2" s="1"/>
  <c r="AF429" i="2" s="1"/>
  <c r="G618" i="9"/>
  <c r="H618" i="9"/>
  <c r="I618" i="9"/>
  <c r="J618" i="9"/>
  <c r="K618" i="9"/>
  <c r="L618" i="9"/>
  <c r="M618" i="9"/>
  <c r="N618" i="9"/>
  <c r="O618" i="9"/>
  <c r="P618" i="9"/>
  <c r="Q618" i="9"/>
  <c r="R618" i="9"/>
  <c r="S618" i="9"/>
  <c r="T618" i="9"/>
  <c r="U618" i="9"/>
  <c r="V618" i="9"/>
  <c r="W618" i="9"/>
  <c r="X618" i="9"/>
  <c r="Y618" i="9"/>
  <c r="Z618" i="9"/>
  <c r="AA618" i="9"/>
  <c r="AB618" i="9"/>
  <c r="AC618" i="9"/>
  <c r="AD618" i="9"/>
  <c r="J809" i="7"/>
  <c r="J808" i="7" s="1"/>
  <c r="J807" i="7" s="1"/>
  <c r="J806" i="7" s="1"/>
  <c r="J805" i="7" s="1"/>
  <c r="J804" i="7" s="1"/>
  <c r="J803" i="7" s="1"/>
  <c r="H809" i="7"/>
  <c r="E621" i="9" s="1"/>
  <c r="E620" i="9" s="1"/>
  <c r="E619" i="9" s="1"/>
  <c r="E618" i="9" s="1"/>
  <c r="F809" i="7"/>
  <c r="F808" i="7" s="1"/>
  <c r="F807" i="7" s="1"/>
  <c r="F806" i="7" s="1"/>
  <c r="F805" i="7" s="1"/>
  <c r="F804" i="7" s="1"/>
  <c r="F803" i="7" s="1"/>
  <c r="AD434" i="2"/>
  <c r="AD433" i="2" s="1"/>
  <c r="AD432" i="2" s="1"/>
  <c r="AD431" i="2" s="1"/>
  <c r="AD430" i="2" s="1"/>
  <c r="AD429" i="2" s="1"/>
  <c r="H808" i="7" l="1"/>
  <c r="H807" i="7" s="1"/>
  <c r="H806" i="7" s="1"/>
  <c r="H805" i="7" s="1"/>
  <c r="H804" i="7" s="1"/>
  <c r="H803" i="7" s="1"/>
  <c r="D621" i="9"/>
  <c r="D620" i="9" s="1"/>
  <c r="D619" i="9" s="1"/>
  <c r="D618" i="9" s="1"/>
  <c r="F621" i="9"/>
  <c r="F620" i="9" s="1"/>
  <c r="F619" i="9" s="1"/>
  <c r="F618" i="9" s="1"/>
  <c r="AF55" i="2" l="1"/>
  <c r="AE55" i="2"/>
  <c r="J105" i="7"/>
  <c r="H105" i="7"/>
  <c r="F105" i="7"/>
  <c r="AF122" i="2" l="1"/>
  <c r="J195" i="7" s="1"/>
  <c r="J194" i="7" s="1"/>
  <c r="J193" i="7" s="1"/>
  <c r="J192" i="7" s="1"/>
  <c r="AE122" i="2"/>
  <c r="H195" i="7" s="1"/>
  <c r="H194" i="7" s="1"/>
  <c r="H193" i="7" s="1"/>
  <c r="H192" i="7" s="1"/>
  <c r="F195" i="7"/>
  <c r="F194" i="7" s="1"/>
  <c r="F193" i="7" s="1"/>
  <c r="F192" i="7" s="1"/>
  <c r="AE1013" i="2"/>
  <c r="AE1012" i="2" s="1"/>
  <c r="AE1011" i="2" s="1"/>
  <c r="AE1010" i="2" s="1"/>
  <c r="AE1009" i="2" s="1"/>
  <c r="AF1013" i="2"/>
  <c r="AF1012" i="2" s="1"/>
  <c r="AF1011" i="2" s="1"/>
  <c r="AF1010" i="2" s="1"/>
  <c r="AF1009" i="2" s="1"/>
  <c r="AD1013" i="2"/>
  <c r="AD1012" i="2" s="1"/>
  <c r="AD1011" i="2" s="1"/>
  <c r="AD1010" i="2" s="1"/>
  <c r="AD1009" i="2" s="1"/>
  <c r="J888" i="7"/>
  <c r="J887" i="7" s="1"/>
  <c r="H888" i="7"/>
  <c r="H887" i="7" s="1"/>
  <c r="F888" i="7"/>
  <c r="D238" i="9" s="1"/>
  <c r="D237" i="9" s="1"/>
  <c r="D236" i="9" s="1"/>
  <c r="D235" i="9" s="1"/>
  <c r="AE1004" i="2"/>
  <c r="AE1003" i="2" s="1"/>
  <c r="AE1002" i="2" s="1"/>
  <c r="AE1001" i="2" s="1"/>
  <c r="AE1000" i="2" s="1"/>
  <c r="AE999" i="2" s="1"/>
  <c r="AE998" i="2" s="1"/>
  <c r="AF1004" i="2"/>
  <c r="AF1003" i="2" s="1"/>
  <c r="AF1002" i="2" s="1"/>
  <c r="AF1001" i="2" s="1"/>
  <c r="AF1000" i="2" s="1"/>
  <c r="AF999" i="2" s="1"/>
  <c r="AF998" i="2" s="1"/>
  <c r="AD1004" i="2"/>
  <c r="AD1003" i="2" s="1"/>
  <c r="AD1002" i="2" s="1"/>
  <c r="AD1001" i="2" s="1"/>
  <c r="AD1000" i="2" s="1"/>
  <c r="AD999" i="2" s="1"/>
  <c r="AD998" i="2" s="1"/>
  <c r="J886" i="7" l="1"/>
  <c r="J885" i="7" s="1"/>
  <c r="H886" i="7"/>
  <c r="H885" i="7" s="1"/>
  <c r="AF121" i="2"/>
  <c r="AF120" i="2" s="1"/>
  <c r="AF119" i="2" s="1"/>
  <c r="AE121" i="2"/>
  <c r="AE120" i="2" s="1"/>
  <c r="AE119" i="2" s="1"/>
  <c r="AD121" i="2"/>
  <c r="AD120" i="2" s="1"/>
  <c r="AD119" i="2" s="1"/>
  <c r="F887" i="7"/>
  <c r="E238" i="9"/>
  <c r="E237" i="9" s="1"/>
  <c r="E236" i="9" s="1"/>
  <c r="E235" i="9" s="1"/>
  <c r="F238" i="9"/>
  <c r="F237" i="9" s="1"/>
  <c r="F236" i="9" s="1"/>
  <c r="F235" i="9" s="1"/>
  <c r="F886" i="7" l="1"/>
  <c r="F885" i="7" s="1"/>
  <c r="AF667" i="2"/>
  <c r="AD640" i="2"/>
  <c r="AE667" i="2" l="1"/>
  <c r="AF640" i="2"/>
  <c r="AE640" i="2"/>
  <c r="G444" i="7" l="1"/>
  <c r="J245" i="7"/>
  <c r="F306" i="9" s="1"/>
  <c r="F305" i="9" s="1"/>
  <c r="F304" i="9" s="1"/>
  <c r="F303" i="9" s="1"/>
  <c r="H245" i="7"/>
  <c r="E306" i="9" s="1"/>
  <c r="E305" i="9" s="1"/>
  <c r="E304" i="9" s="1"/>
  <c r="E303" i="9" s="1"/>
  <c r="F245" i="7"/>
  <c r="D306" i="9" s="1"/>
  <c r="D305" i="9" s="1"/>
  <c r="D304" i="9" s="1"/>
  <c r="D303" i="9" s="1"/>
  <c r="AE165" i="2"/>
  <c r="AE164" i="2" s="1"/>
  <c r="AE163" i="2" s="1"/>
  <c r="AF165" i="2"/>
  <c r="AF164" i="2" s="1"/>
  <c r="AF163" i="2" s="1"/>
  <c r="AD165" i="2"/>
  <c r="AD164" i="2" s="1"/>
  <c r="AD163" i="2" s="1"/>
  <c r="J274" i="7"/>
  <c r="H274" i="7"/>
  <c r="F274" i="7"/>
  <c r="F244" i="7" l="1"/>
  <c r="F243" i="7" s="1"/>
  <c r="F242" i="7" s="1"/>
  <c r="J244" i="7"/>
  <c r="J243" i="7" s="1"/>
  <c r="J242" i="7" s="1"/>
  <c r="H244" i="7"/>
  <c r="H243" i="7" s="1"/>
  <c r="H242" i="7" s="1"/>
  <c r="I831" i="7" l="1"/>
  <c r="I830" i="7" s="1"/>
  <c r="I829" i="7" s="1"/>
  <c r="I828" i="7" s="1"/>
  <c r="J832" i="7"/>
  <c r="F350" i="9" s="1"/>
  <c r="F349" i="9" s="1"/>
  <c r="F348" i="9" s="1"/>
  <c r="F347" i="9" s="1"/>
  <c r="F346" i="9" s="1"/>
  <c r="H832" i="7"/>
  <c r="E350" i="9" s="1"/>
  <c r="E349" i="9" s="1"/>
  <c r="E348" i="9" s="1"/>
  <c r="E347" i="9" s="1"/>
  <c r="E346" i="9" s="1"/>
  <c r="F832" i="7"/>
  <c r="D350" i="9" s="1"/>
  <c r="D349" i="9" s="1"/>
  <c r="D348" i="9" s="1"/>
  <c r="D347" i="9" s="1"/>
  <c r="D346" i="9" s="1"/>
  <c r="AE986" i="2"/>
  <c r="AE985" i="2" s="1"/>
  <c r="AE984" i="2" s="1"/>
  <c r="AE983" i="2" s="1"/>
  <c r="AE982" i="2" s="1"/>
  <c r="AE981" i="2" s="1"/>
  <c r="AF986" i="2"/>
  <c r="AF985" i="2" s="1"/>
  <c r="AF984" i="2" s="1"/>
  <c r="AF983" i="2" s="1"/>
  <c r="AF982" i="2" s="1"/>
  <c r="AF981" i="2" s="1"/>
  <c r="AD986" i="2"/>
  <c r="AD985" i="2" s="1"/>
  <c r="AD984" i="2" s="1"/>
  <c r="AD983" i="2" s="1"/>
  <c r="AD982" i="2" s="1"/>
  <c r="AD981" i="2" s="1"/>
  <c r="AF652" i="2"/>
  <c r="AE652" i="2"/>
  <c r="AD652" i="2"/>
  <c r="I826" i="7" l="1"/>
  <c r="I827" i="7"/>
  <c r="F831" i="7"/>
  <c r="F830" i="7" s="1"/>
  <c r="F829" i="7" s="1"/>
  <c r="F828" i="7" s="1"/>
  <c r="F827" i="7" s="1"/>
  <c r="H831" i="7"/>
  <c r="H830" i="7" s="1"/>
  <c r="H829" i="7" s="1"/>
  <c r="H828" i="7" s="1"/>
  <c r="H827" i="7" s="1"/>
  <c r="J831" i="7"/>
  <c r="J830" i="7" s="1"/>
  <c r="J829" i="7" s="1"/>
  <c r="J828" i="7" s="1"/>
  <c r="J827" i="7" s="1"/>
  <c r="AF678" i="2"/>
  <c r="AE678" i="2"/>
  <c r="AD678" i="2"/>
  <c r="AD769" i="2"/>
  <c r="F744" i="7" s="1"/>
  <c r="AF726" i="2"/>
  <c r="AE726" i="2"/>
  <c r="AD726" i="2"/>
  <c r="F659" i="7" l="1"/>
  <c r="E392" i="9"/>
  <c r="E391" i="9" s="1"/>
  <c r="F392" i="9"/>
  <c r="F391" i="9" s="1"/>
  <c r="G391" i="9"/>
  <c r="H391" i="9"/>
  <c r="I391" i="9"/>
  <c r="J391" i="9"/>
  <c r="K391" i="9"/>
  <c r="L391" i="9"/>
  <c r="M391" i="9"/>
  <c r="N391" i="9"/>
  <c r="O391" i="9"/>
  <c r="P391" i="9"/>
  <c r="Q391" i="9"/>
  <c r="R391" i="9"/>
  <c r="S391" i="9"/>
  <c r="T391" i="9"/>
  <c r="U391" i="9"/>
  <c r="V391" i="9"/>
  <c r="W391" i="9"/>
  <c r="X391" i="9"/>
  <c r="Y391" i="9"/>
  <c r="Z391" i="9"/>
  <c r="AA391" i="9"/>
  <c r="AB391" i="9"/>
  <c r="AC391" i="9"/>
  <c r="AD391" i="9"/>
  <c r="J432" i="7"/>
  <c r="J431" i="7" s="1"/>
  <c r="J430" i="7" s="1"/>
  <c r="H432" i="7"/>
  <c r="H431" i="7" s="1"/>
  <c r="H430" i="7" s="1"/>
  <c r="F432" i="7"/>
  <c r="G432" i="7" s="1"/>
  <c r="G431" i="7" s="1"/>
  <c r="G430" i="7" s="1"/>
  <c r="AE875" i="2"/>
  <c r="AE874" i="2" s="1"/>
  <c r="AE870" i="2" s="1"/>
  <c r="AE869" i="2" s="1"/>
  <c r="AF875" i="2"/>
  <c r="AF874" i="2" s="1"/>
  <c r="AF870" i="2" s="1"/>
  <c r="AF869" i="2" s="1"/>
  <c r="AD875" i="2"/>
  <c r="AD874" i="2" s="1"/>
  <c r="F387" i="9" l="1"/>
  <c r="F386" i="9" s="1"/>
  <c r="E387" i="9"/>
  <c r="E386" i="9" s="1"/>
  <c r="AD870" i="2"/>
  <c r="AD869" i="2" s="1"/>
  <c r="G426" i="7"/>
  <c r="G425" i="7" s="1"/>
  <c r="J426" i="7"/>
  <c r="J425" i="7" s="1"/>
  <c r="H426" i="7"/>
  <c r="H425" i="7" s="1"/>
  <c r="D393" i="9"/>
  <c r="D392" i="9" s="1"/>
  <c r="D391" i="9" s="1"/>
  <c r="F431" i="7"/>
  <c r="F430" i="7" s="1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AB155" i="9"/>
  <c r="AC155" i="9"/>
  <c r="AD155" i="9"/>
  <c r="J656" i="7"/>
  <c r="H656" i="7"/>
  <c r="F656" i="7"/>
  <c r="F655" i="7" s="1"/>
  <c r="F654" i="7" s="1"/>
  <c r="AE715" i="2"/>
  <c r="AE714" i="2" s="1"/>
  <c r="AF715" i="2"/>
  <c r="AF714" i="2" s="1"/>
  <c r="AD715" i="2"/>
  <c r="AD714" i="2" s="1"/>
  <c r="J858" i="7"/>
  <c r="D387" i="9" l="1"/>
  <c r="D386" i="9" s="1"/>
  <c r="F426" i="7"/>
  <c r="F425" i="7" s="1"/>
  <c r="J655" i="7"/>
  <c r="J654" i="7" s="1"/>
  <c r="K656" i="7"/>
  <c r="K655" i="7" s="1"/>
  <c r="K654" i="7" s="1"/>
  <c r="H655" i="7"/>
  <c r="H654" i="7" s="1"/>
  <c r="I656" i="7"/>
  <c r="I655" i="7" s="1"/>
  <c r="I654" i="7" s="1"/>
  <c r="F156" i="9"/>
  <c r="F155" i="9" s="1"/>
  <c r="F154" i="9" s="1"/>
  <c r="G656" i="7"/>
  <c r="G655" i="7" s="1"/>
  <c r="G654" i="7" s="1"/>
  <c r="D156" i="9"/>
  <c r="D155" i="9" s="1"/>
  <c r="D154" i="9" s="1"/>
  <c r="E156" i="9"/>
  <c r="E155" i="9" s="1"/>
  <c r="E154" i="9" s="1"/>
  <c r="J659" i="7" l="1"/>
  <c r="K659" i="7" s="1"/>
  <c r="K658" i="7" s="1"/>
  <c r="K657" i="7" s="1"/>
  <c r="K650" i="7" s="1"/>
  <c r="H659" i="7"/>
  <c r="I659" i="7" s="1"/>
  <c r="J624" i="7"/>
  <c r="K624" i="7" s="1"/>
  <c r="K623" i="7" s="1"/>
  <c r="K622" i="7" s="1"/>
  <c r="H624" i="7"/>
  <c r="I624" i="7" s="1"/>
  <c r="I623" i="7" s="1"/>
  <c r="I622" i="7" s="1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F651" i="2"/>
  <c r="AF650" i="2" s="1"/>
  <c r="H592" i="7"/>
  <c r="AD651" i="2"/>
  <c r="AD650" i="2" s="1"/>
  <c r="AE651" i="2"/>
  <c r="AE650" i="2" s="1"/>
  <c r="AE683" i="2"/>
  <c r="AE682" i="2" s="1"/>
  <c r="AF683" i="2"/>
  <c r="AF682" i="2" s="1"/>
  <c r="AD683" i="2"/>
  <c r="AD682" i="2" s="1"/>
  <c r="F624" i="7" l="1"/>
  <c r="G624" i="7" s="1"/>
  <c r="G623" i="7" s="1"/>
  <c r="G622" i="7" s="1"/>
  <c r="F592" i="7"/>
  <c r="F591" i="7" s="1"/>
  <c r="F590" i="7" s="1"/>
  <c r="J592" i="7"/>
  <c r="K592" i="7" s="1"/>
  <c r="K591" i="7" s="1"/>
  <c r="K590" i="7" s="1"/>
  <c r="H623" i="7"/>
  <c r="H622" i="7" s="1"/>
  <c r="J623" i="7"/>
  <c r="J622" i="7" s="1"/>
  <c r="H591" i="7"/>
  <c r="H590" i="7" s="1"/>
  <c r="E121" i="9"/>
  <c r="E120" i="9" s="1"/>
  <c r="E119" i="9" s="1"/>
  <c r="I592" i="7"/>
  <c r="I591" i="7" s="1"/>
  <c r="I590" i="7" s="1"/>
  <c r="G592" i="7" l="1"/>
  <c r="G591" i="7" s="1"/>
  <c r="G590" i="7" s="1"/>
  <c r="F121" i="9"/>
  <c r="F120" i="9" s="1"/>
  <c r="F119" i="9" s="1"/>
  <c r="J591" i="7"/>
  <c r="J590" i="7" s="1"/>
  <c r="D121" i="9"/>
  <c r="D120" i="9" s="1"/>
  <c r="D119" i="9" s="1"/>
  <c r="F623" i="7"/>
  <c r="F622" i="7" s="1"/>
  <c r="AE718" i="2"/>
  <c r="AE717" i="2" s="1"/>
  <c r="AE710" i="2" s="1"/>
  <c r="AF718" i="2"/>
  <c r="AF717" i="2" s="1"/>
  <c r="AF710" i="2" s="1"/>
  <c r="AD718" i="2"/>
  <c r="AD717" i="2" s="1"/>
  <c r="AD710" i="2" s="1"/>
  <c r="G659" i="7"/>
  <c r="G150" i="9"/>
  <c r="G80" i="9" s="1"/>
  <c r="H150" i="9"/>
  <c r="H80" i="9" s="1"/>
  <c r="I150" i="9"/>
  <c r="I80" i="9" s="1"/>
  <c r="J150" i="9"/>
  <c r="J80" i="9" s="1"/>
  <c r="K150" i="9"/>
  <c r="K80" i="9" s="1"/>
  <c r="L150" i="9"/>
  <c r="L80" i="9" s="1"/>
  <c r="M150" i="9"/>
  <c r="M80" i="9" s="1"/>
  <c r="N150" i="9"/>
  <c r="N80" i="9" s="1"/>
  <c r="O150" i="9"/>
  <c r="O80" i="9" s="1"/>
  <c r="P150" i="9"/>
  <c r="P80" i="9" s="1"/>
  <c r="Q150" i="9"/>
  <c r="Q80" i="9" s="1"/>
  <c r="R150" i="9"/>
  <c r="R80" i="9" s="1"/>
  <c r="S150" i="9"/>
  <c r="S80" i="9" s="1"/>
  <c r="T150" i="9"/>
  <c r="T80" i="9" s="1"/>
  <c r="U150" i="9"/>
  <c r="U80" i="9" s="1"/>
  <c r="V150" i="9"/>
  <c r="V80" i="9" s="1"/>
  <c r="W150" i="9"/>
  <c r="W80" i="9" s="1"/>
  <c r="X150" i="9"/>
  <c r="X80" i="9" s="1"/>
  <c r="Y150" i="9"/>
  <c r="Y80" i="9" s="1"/>
  <c r="Z150" i="9"/>
  <c r="Z80" i="9" s="1"/>
  <c r="AA150" i="9"/>
  <c r="AA80" i="9" s="1"/>
  <c r="AB150" i="9"/>
  <c r="AB80" i="9" s="1"/>
  <c r="AC150" i="9"/>
  <c r="AC80" i="9" s="1"/>
  <c r="AD150" i="9"/>
  <c r="AD80" i="9" s="1"/>
  <c r="F159" i="9"/>
  <c r="F158" i="9" s="1"/>
  <c r="F157" i="9" s="1"/>
  <c r="F150" i="9" s="1"/>
  <c r="E159" i="9"/>
  <c r="E158" i="9" s="1"/>
  <c r="E157" i="9" s="1"/>
  <c r="E150" i="9" s="1"/>
  <c r="D159" i="9"/>
  <c r="D158" i="9" s="1"/>
  <c r="D157" i="9" s="1"/>
  <c r="D150" i="9" s="1"/>
  <c r="E118" i="9"/>
  <c r="E117" i="9" s="1"/>
  <c r="E116" i="9" s="1"/>
  <c r="G658" i="7" l="1"/>
  <c r="G657" i="7" s="1"/>
  <c r="G650" i="7" s="1"/>
  <c r="H658" i="7"/>
  <c r="H657" i="7" s="1"/>
  <c r="H650" i="7" s="1"/>
  <c r="I658" i="7"/>
  <c r="I657" i="7" s="1"/>
  <c r="I650" i="7" s="1"/>
  <c r="J658" i="7"/>
  <c r="J657" i="7" s="1"/>
  <c r="J650" i="7" s="1"/>
  <c r="F658" i="7"/>
  <c r="F657" i="7" s="1"/>
  <c r="F650" i="7" s="1"/>
  <c r="J621" i="7"/>
  <c r="H621" i="7"/>
  <c r="H620" i="7" s="1"/>
  <c r="H619" i="7" s="1"/>
  <c r="AE680" i="2"/>
  <c r="AE679" i="2" s="1"/>
  <c r="AF680" i="2"/>
  <c r="AF679" i="2" s="1"/>
  <c r="AD681" i="2"/>
  <c r="F621" i="7" s="1"/>
  <c r="AD680" i="2" l="1"/>
  <c r="AD679" i="2" s="1"/>
  <c r="F620" i="7"/>
  <c r="F619" i="7" s="1"/>
  <c r="D118" i="9"/>
  <c r="D117" i="9" s="1"/>
  <c r="D116" i="9" s="1"/>
  <c r="J620" i="7"/>
  <c r="J619" i="7" s="1"/>
  <c r="F118" i="9"/>
  <c r="F117" i="9" s="1"/>
  <c r="F116" i="9" s="1"/>
  <c r="G621" i="7"/>
  <c r="G620" i="7" s="1"/>
  <c r="G619" i="7" s="1"/>
  <c r="H497" i="7"/>
  <c r="K496" i="7"/>
  <c r="K495" i="7" s="1"/>
  <c r="I496" i="7"/>
  <c r="I495" i="7" s="1"/>
  <c r="I488" i="7" s="1"/>
  <c r="F497" i="7"/>
  <c r="AF908" i="2"/>
  <c r="AF907" i="2" s="1"/>
  <c r="AF906" i="2" s="1"/>
  <c r="AD907" i="2"/>
  <c r="AD906" i="2" s="1"/>
  <c r="AF851" i="2"/>
  <c r="AF850" i="2" s="1"/>
  <c r="AF849" i="2" s="1"/>
  <c r="K488" i="7" l="1"/>
  <c r="K472" i="7" s="1"/>
  <c r="K471" i="7" s="1"/>
  <c r="K445" i="7" s="1"/>
  <c r="J497" i="7"/>
  <c r="H496" i="7"/>
  <c r="H495" i="7" s="1"/>
  <c r="E615" i="9"/>
  <c r="E614" i="9" s="1"/>
  <c r="E613" i="9" s="1"/>
  <c r="F496" i="7"/>
  <c r="F495" i="7" s="1"/>
  <c r="D615" i="9"/>
  <c r="D614" i="9" s="1"/>
  <c r="D613" i="9" s="1"/>
  <c r="AE907" i="2"/>
  <c r="AE906" i="2" s="1"/>
  <c r="F406" i="7"/>
  <c r="F405" i="7" s="1"/>
  <c r="AD851" i="2"/>
  <c r="AD850" i="2" s="1"/>
  <c r="AD849" i="2" s="1"/>
  <c r="G740" i="7"/>
  <c r="AD972" i="2"/>
  <c r="AD861" i="2"/>
  <c r="AF769" i="2"/>
  <c r="AE769" i="2"/>
  <c r="AF375" i="2"/>
  <c r="AE375" i="2"/>
  <c r="AF772" i="2"/>
  <c r="J747" i="7" s="1"/>
  <c r="AE772" i="2"/>
  <c r="H747" i="7" s="1"/>
  <c r="J496" i="7" l="1"/>
  <c r="J495" i="7" s="1"/>
  <c r="F615" i="9"/>
  <c r="F614" i="9" s="1"/>
  <c r="F613" i="9" s="1"/>
  <c r="AE851" i="2"/>
  <c r="AE850" i="2" s="1"/>
  <c r="AE849" i="2" s="1"/>
  <c r="G20" i="9" l="1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G652" i="9"/>
  <c r="H652" i="9"/>
  <c r="I652" i="9"/>
  <c r="J652" i="9"/>
  <c r="K652" i="9"/>
  <c r="L652" i="9"/>
  <c r="M652" i="9"/>
  <c r="N652" i="9"/>
  <c r="O652" i="9"/>
  <c r="P652" i="9"/>
  <c r="Q652" i="9"/>
  <c r="R652" i="9"/>
  <c r="S652" i="9"/>
  <c r="T652" i="9"/>
  <c r="U652" i="9"/>
  <c r="V652" i="9"/>
  <c r="W652" i="9"/>
  <c r="X652" i="9"/>
  <c r="Y652" i="9"/>
  <c r="Z652" i="9"/>
  <c r="AA652" i="9"/>
  <c r="AB652" i="9"/>
  <c r="AC652" i="9"/>
  <c r="AD652" i="9"/>
  <c r="G443" i="7"/>
  <c r="G442" i="7" s="1"/>
  <c r="G441" i="7" s="1"/>
  <c r="G440" i="7" s="1"/>
  <c r="G439" i="7" s="1"/>
  <c r="J444" i="7"/>
  <c r="F653" i="9" s="1"/>
  <c r="AF881" i="2"/>
  <c r="AF880" i="2" s="1"/>
  <c r="AF879" i="2" s="1"/>
  <c r="AF878" i="2" s="1"/>
  <c r="AF877" i="2" s="1"/>
  <c r="H444" i="7"/>
  <c r="AD881" i="2"/>
  <c r="AD880" i="2" s="1"/>
  <c r="AD879" i="2" s="1"/>
  <c r="AD878" i="2" s="1"/>
  <c r="AD877" i="2" s="1"/>
  <c r="I472" i="7" l="1"/>
  <c r="I471" i="7" s="1"/>
  <c r="I445" i="7" s="1"/>
  <c r="E653" i="9"/>
  <c r="E652" i="9" s="1"/>
  <c r="E651" i="9" s="1"/>
  <c r="J443" i="7"/>
  <c r="J442" i="7" s="1"/>
  <c r="J441" i="7" s="1"/>
  <c r="J440" i="7" s="1"/>
  <c r="J439" i="7" s="1"/>
  <c r="F652" i="9"/>
  <c r="F651" i="9" s="1"/>
  <c r="AE881" i="2"/>
  <c r="AE880" i="2" s="1"/>
  <c r="AE879" i="2" s="1"/>
  <c r="AE878" i="2" s="1"/>
  <c r="AE877" i="2" s="1"/>
  <c r="F444" i="7"/>
  <c r="H443" i="7"/>
  <c r="H442" i="7" s="1"/>
  <c r="H441" i="7" s="1"/>
  <c r="H440" i="7" s="1"/>
  <c r="H439" i="7" s="1"/>
  <c r="D653" i="9" l="1"/>
  <c r="D652" i="9" s="1"/>
  <c r="D651" i="9" s="1"/>
  <c r="F443" i="7"/>
  <c r="F442" i="7" s="1"/>
  <c r="F441" i="7" s="1"/>
  <c r="F440" i="7" s="1"/>
  <c r="F439" i="7" s="1"/>
  <c r="J531" i="7" l="1"/>
  <c r="J530" i="7" s="1"/>
  <c r="J529" i="7" s="1"/>
  <c r="J528" i="7" s="1"/>
  <c r="J527" i="7" s="1"/>
  <c r="J526" i="7" s="1"/>
  <c r="H531" i="7"/>
  <c r="H530" i="7" s="1"/>
  <c r="H529" i="7" s="1"/>
  <c r="H528" i="7" s="1"/>
  <c r="H527" i="7" s="1"/>
  <c r="H526" i="7" s="1"/>
  <c r="F531" i="7"/>
  <c r="F530" i="7" s="1"/>
  <c r="F529" i="7" s="1"/>
  <c r="F528" i="7" s="1"/>
  <c r="F527" i="7" s="1"/>
  <c r="F526" i="7" s="1"/>
  <c r="AD938" i="2"/>
  <c r="AD937" i="2" s="1"/>
  <c r="AD936" i="2" s="1"/>
  <c r="AD935" i="2" s="1"/>
  <c r="AD934" i="2" s="1"/>
  <c r="AF938" i="2"/>
  <c r="AF937" i="2" s="1"/>
  <c r="AF936" i="2" s="1"/>
  <c r="AF935" i="2" s="1"/>
  <c r="AF934" i="2" s="1"/>
  <c r="AE938" i="2"/>
  <c r="AE937" i="2" s="1"/>
  <c r="AE936" i="2" s="1"/>
  <c r="AE935" i="2" s="1"/>
  <c r="AE934" i="2" s="1"/>
  <c r="G423" i="7" l="1"/>
  <c r="G422" i="7" s="1"/>
  <c r="G418" i="7" s="1"/>
  <c r="J424" i="7"/>
  <c r="F385" i="9" s="1"/>
  <c r="F384" i="9" s="1"/>
  <c r="F383" i="9" s="1"/>
  <c r="F379" i="9" s="1"/>
  <c r="H424" i="7"/>
  <c r="H423" i="7" s="1"/>
  <c r="H422" i="7" s="1"/>
  <c r="H418" i="7" s="1"/>
  <c r="F424" i="7"/>
  <c r="F423" i="7" l="1"/>
  <c r="F422" i="7" s="1"/>
  <c r="F418" i="7" s="1"/>
  <c r="J423" i="7"/>
  <c r="J422" i="7" s="1"/>
  <c r="J418" i="7" s="1"/>
  <c r="E385" i="9"/>
  <c r="E384" i="9" s="1"/>
  <c r="E383" i="9" s="1"/>
  <c r="E379" i="9" s="1"/>
  <c r="D385" i="9"/>
  <c r="D384" i="9" s="1"/>
  <c r="D383" i="9" s="1"/>
  <c r="D379" i="9" s="1"/>
  <c r="AE867" i="2"/>
  <c r="AE866" i="2" s="1"/>
  <c r="AE862" i="2" s="1"/>
  <c r="AF867" i="2"/>
  <c r="AF866" i="2" s="1"/>
  <c r="AF862" i="2" s="1"/>
  <c r="AD867" i="2"/>
  <c r="AD866" i="2" s="1"/>
  <c r="AD862" i="2" s="1"/>
  <c r="K400" i="7"/>
  <c r="G416" i="7"/>
  <c r="G415" i="7" s="1"/>
  <c r="I416" i="7"/>
  <c r="I415" i="7" s="1"/>
  <c r="I400" i="7" s="1"/>
  <c r="J417" i="7"/>
  <c r="F378" i="9" s="1"/>
  <c r="F377" i="9" s="1"/>
  <c r="F376" i="9" s="1"/>
  <c r="H417" i="7"/>
  <c r="F417" i="7"/>
  <c r="AE860" i="2"/>
  <c r="AE859" i="2" s="1"/>
  <c r="AF860" i="2"/>
  <c r="AF859" i="2" s="1"/>
  <c r="AD860" i="2"/>
  <c r="AD859" i="2" s="1"/>
  <c r="D378" i="9" l="1"/>
  <c r="D377" i="9" s="1"/>
  <c r="D376" i="9" s="1"/>
  <c r="H416" i="7"/>
  <c r="H415" i="7" s="1"/>
  <c r="K399" i="7"/>
  <c r="F416" i="7"/>
  <c r="F415" i="7" s="1"/>
  <c r="J416" i="7"/>
  <c r="J415" i="7" s="1"/>
  <c r="E378" i="9"/>
  <c r="E377" i="9" s="1"/>
  <c r="E376" i="9" s="1"/>
  <c r="J104" i="7"/>
  <c r="J103" i="7" s="1"/>
  <c r="J102" i="7" s="1"/>
  <c r="H104" i="7"/>
  <c r="H103" i="7" s="1"/>
  <c r="H102" i="7" s="1"/>
  <c r="F104" i="7"/>
  <c r="F103" i="7" s="1"/>
  <c r="F102" i="7" s="1"/>
  <c r="AD552" i="2"/>
  <c r="AD551" i="2" s="1"/>
  <c r="AD550" i="2" s="1"/>
  <c r="AF552" i="2"/>
  <c r="AF551" i="2" s="1"/>
  <c r="AF550" i="2" s="1"/>
  <c r="AE552" i="2"/>
  <c r="AE551" i="2" s="1"/>
  <c r="AE550" i="2" s="1"/>
  <c r="K398" i="7" l="1"/>
  <c r="K397" i="7" s="1"/>
  <c r="J802" i="7" l="1"/>
  <c r="F65" i="9" s="1"/>
  <c r="F64" i="9" s="1"/>
  <c r="F63" i="9" s="1"/>
  <c r="F62" i="9" s="1"/>
  <c r="H802" i="7"/>
  <c r="F802" i="7"/>
  <c r="AE427" i="2"/>
  <c r="AE426" i="2" s="1"/>
  <c r="AE425" i="2" s="1"/>
  <c r="AF427" i="2"/>
  <c r="AF426" i="2" s="1"/>
  <c r="AF425" i="2" s="1"/>
  <c r="AD427" i="2"/>
  <c r="AD426" i="2" s="1"/>
  <c r="AD425" i="2" s="1"/>
  <c r="D65" i="9" l="1"/>
  <c r="D64" i="9" s="1"/>
  <c r="D63" i="9" s="1"/>
  <c r="D62" i="9" s="1"/>
  <c r="G802" i="7"/>
  <c r="H801" i="7"/>
  <c r="H800" i="7" s="1"/>
  <c r="H799" i="7" s="1"/>
  <c r="I802" i="7"/>
  <c r="I801" i="7" s="1"/>
  <c r="I800" i="7" s="1"/>
  <c r="I799" i="7" s="1"/>
  <c r="I777" i="7" s="1"/>
  <c r="G801" i="7"/>
  <c r="G800" i="7" s="1"/>
  <c r="G799" i="7" s="1"/>
  <c r="G777" i="7" s="1"/>
  <c r="F801" i="7"/>
  <c r="F800" i="7" s="1"/>
  <c r="F799" i="7" s="1"/>
  <c r="J801" i="7"/>
  <c r="J800" i="7" s="1"/>
  <c r="J799" i="7" s="1"/>
  <c r="E65" i="9"/>
  <c r="E64" i="9" s="1"/>
  <c r="E63" i="9" s="1"/>
  <c r="E62" i="9" s="1"/>
  <c r="I399" i="7" l="1"/>
  <c r="I398" i="7" l="1"/>
  <c r="I397" i="7" s="1"/>
  <c r="J603" i="7" l="1"/>
  <c r="H603" i="7"/>
  <c r="AE662" i="2"/>
  <c r="AE661" i="2" s="1"/>
  <c r="AF662" i="2"/>
  <c r="AF661" i="2" s="1"/>
  <c r="AD662" i="2"/>
  <c r="AD661" i="2" s="1"/>
  <c r="E84" i="9" l="1"/>
  <c r="E83" i="9" s="1"/>
  <c r="E82" i="9" s="1"/>
  <c r="F84" i="9"/>
  <c r="F83" i="9" s="1"/>
  <c r="F82" i="9" s="1"/>
  <c r="J602" i="7"/>
  <c r="J601" i="7" s="1"/>
  <c r="F603" i="7"/>
  <c r="H602" i="7"/>
  <c r="H601" i="7" s="1"/>
  <c r="D84" i="9" l="1"/>
  <c r="D83" i="9" s="1"/>
  <c r="D82" i="9" s="1"/>
  <c r="F602" i="7"/>
  <c r="F601" i="7" s="1"/>
  <c r="H129" i="7" l="1"/>
  <c r="AF690" i="2" l="1"/>
  <c r="AF689" i="2" s="1"/>
  <c r="AE690" i="2"/>
  <c r="AE689" i="2" s="1"/>
  <c r="AD690" i="2"/>
  <c r="AD689" i="2" s="1"/>
  <c r="H631" i="7" l="1"/>
  <c r="F631" i="7"/>
  <c r="J631" i="7"/>
  <c r="F128" i="9" s="1"/>
  <c r="F127" i="9" s="1"/>
  <c r="F126" i="9" s="1"/>
  <c r="D128" i="9" l="1"/>
  <c r="D127" i="9" s="1"/>
  <c r="D126" i="9" s="1"/>
  <c r="E128" i="9"/>
  <c r="E127" i="9" s="1"/>
  <c r="E126" i="9" s="1"/>
  <c r="J396" i="7" l="1"/>
  <c r="F681" i="9" s="1"/>
  <c r="F680" i="9" s="1"/>
  <c r="F679" i="9" s="1"/>
  <c r="F678" i="9" s="1"/>
  <c r="F677" i="9" s="1"/>
  <c r="F676" i="9" s="1"/>
  <c r="H396" i="7"/>
  <c r="H395" i="7" s="1"/>
  <c r="H394" i="7" s="1"/>
  <c r="H393" i="7" s="1"/>
  <c r="H392" i="7" s="1"/>
  <c r="H391" i="7" s="1"/>
  <c r="F396" i="7"/>
  <c r="F395" i="7" s="1"/>
  <c r="F394" i="7" s="1"/>
  <c r="F393" i="7" s="1"/>
  <c r="F392" i="7" s="1"/>
  <c r="F391" i="7" s="1"/>
  <c r="AE839" i="2"/>
  <c r="AE838" i="2" s="1"/>
  <c r="AE837" i="2" s="1"/>
  <c r="AE836" i="2" s="1"/>
  <c r="AE835" i="2" s="1"/>
  <c r="AF839" i="2"/>
  <c r="AF838" i="2" s="1"/>
  <c r="AF837" i="2" s="1"/>
  <c r="AF836" i="2" s="1"/>
  <c r="AF835" i="2" s="1"/>
  <c r="AD839" i="2"/>
  <c r="AD838" i="2" s="1"/>
  <c r="AD837" i="2" s="1"/>
  <c r="AD836" i="2" s="1"/>
  <c r="AD835" i="2" s="1"/>
  <c r="D681" i="9" l="1"/>
  <c r="D680" i="9" s="1"/>
  <c r="D679" i="9" s="1"/>
  <c r="D678" i="9" s="1"/>
  <c r="D677" i="9" s="1"/>
  <c r="D676" i="9" s="1"/>
  <c r="E681" i="9"/>
  <c r="E680" i="9" s="1"/>
  <c r="E679" i="9" s="1"/>
  <c r="E678" i="9" s="1"/>
  <c r="E677" i="9" s="1"/>
  <c r="E676" i="9" s="1"/>
  <c r="J395" i="7"/>
  <c r="J394" i="7" s="1"/>
  <c r="J393" i="7" s="1"/>
  <c r="J392" i="7" s="1"/>
  <c r="J391" i="7" s="1"/>
  <c r="J511" i="7" l="1"/>
  <c r="H511" i="7"/>
  <c r="F511" i="7"/>
  <c r="F510" i="7" s="1"/>
  <c r="F509" i="7" s="1"/>
  <c r="AE921" i="2"/>
  <c r="AE920" i="2" s="1"/>
  <c r="AF921" i="2"/>
  <c r="AF920" i="2" s="1"/>
  <c r="AD921" i="2"/>
  <c r="AD920" i="2" s="1"/>
  <c r="H510" i="7" l="1"/>
  <c r="H509" i="7" s="1"/>
  <c r="E633" i="9"/>
  <c r="E632" i="9" s="1"/>
  <c r="E631" i="9" s="1"/>
  <c r="J510" i="7"/>
  <c r="J509" i="7" s="1"/>
  <c r="F633" i="9"/>
  <c r="F632" i="9" s="1"/>
  <c r="F631" i="9" s="1"/>
  <c r="D633" i="9"/>
  <c r="D632" i="9" s="1"/>
  <c r="D631" i="9" s="1"/>
  <c r="AF85" i="2" l="1"/>
  <c r="AF84" i="2" s="1"/>
  <c r="AE85" i="2"/>
  <c r="AE84" i="2" s="1"/>
  <c r="AD85" i="2"/>
  <c r="AD84" i="2" s="1"/>
  <c r="F146" i="7"/>
  <c r="AD83" i="2" l="1"/>
  <c r="AF83" i="2"/>
  <c r="AE83" i="2"/>
  <c r="J514" i="7"/>
  <c r="J513" i="7" s="1"/>
  <c r="J512" i="7" s="1"/>
  <c r="H514" i="7"/>
  <c r="E636" i="9" s="1"/>
  <c r="E635" i="9" s="1"/>
  <c r="E634" i="9" s="1"/>
  <c r="F514" i="7"/>
  <c r="D636" i="9" s="1"/>
  <c r="D635" i="9" s="1"/>
  <c r="D634" i="9" s="1"/>
  <c r="AE924" i="2"/>
  <c r="AE923" i="2" s="1"/>
  <c r="AF924" i="2"/>
  <c r="AF923" i="2" s="1"/>
  <c r="AD924" i="2"/>
  <c r="AD923" i="2" s="1"/>
  <c r="F513" i="7" l="1"/>
  <c r="F512" i="7" s="1"/>
  <c r="F636" i="9"/>
  <c r="F635" i="9" s="1"/>
  <c r="F634" i="9" s="1"/>
  <c r="H513" i="7"/>
  <c r="H512" i="7" s="1"/>
  <c r="J281" i="7" l="1"/>
  <c r="F331" i="9" s="1"/>
  <c r="F330" i="9" s="1"/>
  <c r="H281" i="7"/>
  <c r="H280" i="7" s="1"/>
  <c r="F281" i="7"/>
  <c r="D331" i="9" s="1"/>
  <c r="D330" i="9" s="1"/>
  <c r="AF201" i="2"/>
  <c r="AE201" i="2"/>
  <c r="AD201" i="2"/>
  <c r="F280" i="7" l="1"/>
  <c r="E331" i="9"/>
  <c r="E330" i="9" s="1"/>
  <c r="J280" i="7"/>
  <c r="J618" i="7" l="1"/>
  <c r="J617" i="7" s="1"/>
  <c r="J616" i="7" s="1"/>
  <c r="H618" i="7"/>
  <c r="F618" i="7"/>
  <c r="J589" i="7"/>
  <c r="J588" i="7" s="1"/>
  <c r="J587" i="7" s="1"/>
  <c r="H589" i="7"/>
  <c r="I589" i="7" s="1"/>
  <c r="I588" i="7" s="1"/>
  <c r="I587" i="7" s="1"/>
  <c r="F589" i="7"/>
  <c r="F588" i="7" s="1"/>
  <c r="F587" i="7" s="1"/>
  <c r="AF677" i="2"/>
  <c r="AF676" i="2" s="1"/>
  <c r="AE677" i="2"/>
  <c r="AE676" i="2" s="1"/>
  <c r="AD677" i="2"/>
  <c r="AD676" i="2" s="1"/>
  <c r="AF648" i="2"/>
  <c r="AF647" i="2" s="1"/>
  <c r="AD648" i="2"/>
  <c r="AD647" i="2" s="1"/>
  <c r="AE648" i="2"/>
  <c r="AE647" i="2" s="1"/>
  <c r="J645" i="7"/>
  <c r="F145" i="9" s="1"/>
  <c r="F144" i="9" s="1"/>
  <c r="F143" i="9" s="1"/>
  <c r="H645" i="7"/>
  <c r="E145" i="9" s="1"/>
  <c r="E144" i="9" s="1"/>
  <c r="E143" i="9" s="1"/>
  <c r="F645" i="7"/>
  <c r="F644" i="7" s="1"/>
  <c r="F643" i="7" s="1"/>
  <c r="AE704" i="2"/>
  <c r="AE703" i="2" s="1"/>
  <c r="AF704" i="2"/>
  <c r="AF703" i="2" s="1"/>
  <c r="AD704" i="2"/>
  <c r="AD703" i="2" s="1"/>
  <c r="G589" i="7" l="1"/>
  <c r="G588" i="7" s="1"/>
  <c r="G587" i="7" s="1"/>
  <c r="D115" i="9"/>
  <c r="D114" i="9" s="1"/>
  <c r="D113" i="9" s="1"/>
  <c r="E115" i="9"/>
  <c r="E114" i="9" s="1"/>
  <c r="E113" i="9" s="1"/>
  <c r="K589" i="7"/>
  <c r="K588" i="7" s="1"/>
  <c r="K587" i="7" s="1"/>
  <c r="F115" i="9"/>
  <c r="F114" i="9" s="1"/>
  <c r="F113" i="9" s="1"/>
  <c r="G618" i="7"/>
  <c r="G617" i="7" s="1"/>
  <c r="G616" i="7" s="1"/>
  <c r="K618" i="7"/>
  <c r="K617" i="7" s="1"/>
  <c r="K616" i="7" s="1"/>
  <c r="F617" i="7"/>
  <c r="F616" i="7" s="1"/>
  <c r="G645" i="7"/>
  <c r="G644" i="7" s="1"/>
  <c r="G643" i="7" s="1"/>
  <c r="G639" i="7" s="1"/>
  <c r="I618" i="7"/>
  <c r="I617" i="7" s="1"/>
  <c r="I616" i="7" s="1"/>
  <c r="H617" i="7"/>
  <c r="H616" i="7" s="1"/>
  <c r="H588" i="7"/>
  <c r="H587" i="7" s="1"/>
  <c r="D145" i="9"/>
  <c r="D144" i="9" s="1"/>
  <c r="D143" i="9" s="1"/>
  <c r="H644" i="7"/>
  <c r="H643" i="7" s="1"/>
  <c r="I645" i="7"/>
  <c r="I644" i="7" s="1"/>
  <c r="I643" i="7" s="1"/>
  <c r="I639" i="7" s="1"/>
  <c r="K645" i="7"/>
  <c r="K644" i="7" s="1"/>
  <c r="K643" i="7" s="1"/>
  <c r="K639" i="7" s="1"/>
  <c r="J644" i="7"/>
  <c r="J643" i="7" s="1"/>
  <c r="J124" i="7" l="1"/>
  <c r="F716" i="9" s="1"/>
  <c r="F124" i="7"/>
  <c r="D716" i="9" s="1"/>
  <c r="H124" i="7"/>
  <c r="E716" i="9" s="1"/>
  <c r="H469" i="7" l="1"/>
  <c r="H468" i="7" s="1"/>
  <c r="H467" i="7" s="1"/>
  <c r="H466" i="7" s="1"/>
  <c r="H465" i="7" s="1"/>
  <c r="F588" i="9"/>
  <c r="F469" i="7"/>
  <c r="F468" i="7" s="1"/>
  <c r="F467" i="7" s="1"/>
  <c r="F466" i="7" s="1"/>
  <c r="F465" i="7" s="1"/>
  <c r="AF311" i="2"/>
  <c r="AF310" i="2" s="1"/>
  <c r="AF309" i="2" s="1"/>
  <c r="AF308" i="2" s="1"/>
  <c r="AF307" i="2" s="1"/>
  <c r="AD311" i="2"/>
  <c r="AD310" i="2" s="1"/>
  <c r="AD309" i="2" s="1"/>
  <c r="AD308" i="2" s="1"/>
  <c r="AD307" i="2" s="1"/>
  <c r="J469" i="7" l="1"/>
  <c r="J468" i="7" s="1"/>
  <c r="J467" i="7" s="1"/>
  <c r="J466" i="7" s="1"/>
  <c r="J465" i="7" s="1"/>
  <c r="E588" i="9"/>
  <c r="E587" i="9" s="1"/>
  <c r="E586" i="9" s="1"/>
  <c r="D587" i="9"/>
  <c r="D586" i="9" s="1"/>
  <c r="F587" i="9"/>
  <c r="F586" i="9" s="1"/>
  <c r="E585" i="9" l="1"/>
  <c r="E584" i="9" s="1"/>
  <c r="D585" i="9"/>
  <c r="D584" i="9" s="1"/>
  <c r="F585" i="9"/>
  <c r="F584" i="9" s="1"/>
  <c r="J711" i="7" l="1"/>
  <c r="H711" i="7"/>
  <c r="J81" i="7" l="1"/>
  <c r="F502" i="9" s="1"/>
  <c r="K743" i="7"/>
  <c r="K746" i="7"/>
  <c r="K745" i="7" s="1"/>
  <c r="AF771" i="2"/>
  <c r="J870" i="7" l="1"/>
  <c r="F217" i="9" s="1"/>
  <c r="J836" i="7" l="1"/>
  <c r="H836" i="7"/>
  <c r="F836" i="7"/>
  <c r="D725" i="9" s="1"/>
  <c r="D724" i="9" s="1"/>
  <c r="D723" i="9" s="1"/>
  <c r="AE462" i="2"/>
  <c r="AE461" i="2" s="1"/>
  <c r="AE460" i="2" s="1"/>
  <c r="AE459" i="2" s="1"/>
  <c r="AF462" i="2"/>
  <c r="AF461" i="2" s="1"/>
  <c r="AF460" i="2" s="1"/>
  <c r="AF459" i="2" s="1"/>
  <c r="AD462" i="2"/>
  <c r="AD461" i="2" s="1"/>
  <c r="AD460" i="2" s="1"/>
  <c r="AD459" i="2" s="1"/>
  <c r="H835" i="7" l="1"/>
  <c r="H834" i="7" s="1"/>
  <c r="H833" i="7" s="1"/>
  <c r="E725" i="9"/>
  <c r="J835" i="7"/>
  <c r="J834" i="7" s="1"/>
  <c r="J833" i="7" s="1"/>
  <c r="F725" i="9"/>
  <c r="F835" i="7"/>
  <c r="F834" i="7" s="1"/>
  <c r="F833" i="7" s="1"/>
  <c r="AF480" i="2"/>
  <c r="AF479" i="2" s="1"/>
  <c r="AE480" i="2"/>
  <c r="AE479" i="2" s="1"/>
  <c r="AD480" i="2"/>
  <c r="AD479" i="2" s="1"/>
  <c r="J826" i="7" l="1"/>
  <c r="F57" i="10" s="1"/>
  <c r="F826" i="7"/>
  <c r="D57" i="10" s="1"/>
  <c r="H826" i="7"/>
  <c r="E57" i="10" s="1"/>
  <c r="AF194" i="2" l="1"/>
  <c r="AF191" i="2" s="1"/>
  <c r="AE194" i="2"/>
  <c r="AE191" i="2" s="1"/>
  <c r="AD194" i="2"/>
  <c r="AD191" i="2" s="1"/>
  <c r="AF185" i="2" l="1"/>
  <c r="AF184" i="2" s="1"/>
  <c r="AE185" i="2"/>
  <c r="AE184" i="2" s="1"/>
  <c r="AD185" i="2"/>
  <c r="AD184" i="2" s="1"/>
  <c r="J67" i="7" l="1"/>
  <c r="F439" i="9" s="1"/>
  <c r="F438" i="9" s="1"/>
  <c r="H67" i="7"/>
  <c r="H66" i="7" s="1"/>
  <c r="F67" i="7"/>
  <c r="D439" i="9" s="1"/>
  <c r="D438" i="9" s="1"/>
  <c r="AD40" i="2"/>
  <c r="F66" i="7" l="1"/>
  <c r="J66" i="7"/>
  <c r="E439" i="9"/>
  <c r="E438" i="9" s="1"/>
  <c r="AF374" i="2"/>
  <c r="J390" i="7" l="1"/>
  <c r="F657" i="9" s="1"/>
  <c r="F656" i="9" s="1"/>
  <c r="F655" i="9" s="1"/>
  <c r="F654" i="9" s="1"/>
  <c r="F390" i="7"/>
  <c r="D657" i="9" s="1"/>
  <c r="D656" i="9" s="1"/>
  <c r="D655" i="9" s="1"/>
  <c r="D654" i="9" s="1"/>
  <c r="AD285" i="2"/>
  <c r="AD284" i="2" s="1"/>
  <c r="AF285" i="2"/>
  <c r="AF284" i="2" s="1"/>
  <c r="H390" i="7"/>
  <c r="AF281" i="2" l="1"/>
  <c r="AF283" i="2"/>
  <c r="AF282" i="2" s="1"/>
  <c r="AD283" i="2"/>
  <c r="AD282" i="2" s="1"/>
  <c r="AD281" i="2" s="1"/>
  <c r="E657" i="9"/>
  <c r="E656" i="9" s="1"/>
  <c r="E655" i="9" s="1"/>
  <c r="E654" i="9" s="1"/>
  <c r="H389" i="7"/>
  <c r="H388" i="7" s="1"/>
  <c r="H387" i="7" s="1"/>
  <c r="H386" i="7" s="1"/>
  <c r="H385" i="7" s="1"/>
  <c r="AE285" i="2"/>
  <c r="AE284" i="2" s="1"/>
  <c r="J389" i="7"/>
  <c r="J388" i="7" s="1"/>
  <c r="J387" i="7" s="1"/>
  <c r="J386" i="7" s="1"/>
  <c r="J385" i="7" s="1"/>
  <c r="F389" i="7"/>
  <c r="F388" i="7" s="1"/>
  <c r="F387" i="7" s="1"/>
  <c r="F386" i="7" s="1"/>
  <c r="F385" i="7" s="1"/>
  <c r="AE281" i="2" l="1"/>
  <c r="AE283" i="2"/>
  <c r="AE282" i="2" s="1"/>
  <c r="F742" i="7" l="1"/>
  <c r="F740" i="7"/>
  <c r="F895" i="7" l="1"/>
  <c r="J895" i="7"/>
  <c r="J894" i="7" s="1"/>
  <c r="J893" i="7" s="1"/>
  <c r="J892" i="7" s="1"/>
  <c r="J891" i="7" s="1"/>
  <c r="J890" i="7" s="1"/>
  <c r="J889" i="7" s="1"/>
  <c r="F62" i="10" s="1"/>
  <c r="H895" i="7"/>
  <c r="E243" i="9" s="1"/>
  <c r="E242" i="9" s="1"/>
  <c r="E241" i="9" s="1"/>
  <c r="E240" i="9" s="1"/>
  <c r="E239" i="9" s="1"/>
  <c r="AE490" i="2"/>
  <c r="AE489" i="2" s="1"/>
  <c r="AE488" i="2" s="1"/>
  <c r="AE487" i="2" s="1"/>
  <c r="AE486" i="2" s="1"/>
  <c r="AE485" i="2" s="1"/>
  <c r="AF490" i="2"/>
  <c r="AF489" i="2" s="1"/>
  <c r="AF488" i="2" s="1"/>
  <c r="AF487" i="2" s="1"/>
  <c r="AF486" i="2" s="1"/>
  <c r="AF485" i="2" s="1"/>
  <c r="F243" i="9" l="1"/>
  <c r="F242" i="9" s="1"/>
  <c r="F241" i="9" s="1"/>
  <c r="F240" i="9" s="1"/>
  <c r="F239" i="9" s="1"/>
  <c r="F894" i="7"/>
  <c r="F893" i="7" s="1"/>
  <c r="F892" i="7" s="1"/>
  <c r="F891" i="7" s="1"/>
  <c r="F890" i="7" s="1"/>
  <c r="F889" i="7" s="1"/>
  <c r="D243" i="9"/>
  <c r="D242" i="9" s="1"/>
  <c r="D241" i="9" s="1"/>
  <c r="D240" i="9" s="1"/>
  <c r="D239" i="9" s="1"/>
  <c r="AD490" i="2"/>
  <c r="AD489" i="2" s="1"/>
  <c r="AD488" i="2" s="1"/>
  <c r="AD487" i="2" s="1"/>
  <c r="AD486" i="2" s="1"/>
  <c r="AD485" i="2" s="1"/>
  <c r="H894" i="7"/>
  <c r="H893" i="7" s="1"/>
  <c r="H892" i="7" s="1"/>
  <c r="H891" i="7" s="1"/>
  <c r="H890" i="7" s="1"/>
  <c r="H889" i="7" s="1"/>
  <c r="E62" i="10" s="1"/>
  <c r="D62" i="10" l="1"/>
  <c r="F711" i="7" l="1"/>
  <c r="F705" i="7"/>
  <c r="F216" i="9" l="1"/>
  <c r="F215" i="9" s="1"/>
  <c r="J869" i="7"/>
  <c r="J868" i="7" s="1"/>
  <c r="H870" i="7"/>
  <c r="F870" i="7"/>
  <c r="AE469" i="2"/>
  <c r="AE468" i="2" s="1"/>
  <c r="AD469" i="2"/>
  <c r="AD468" i="2" s="1"/>
  <c r="F869" i="7" l="1"/>
  <c r="F868" i="7" s="1"/>
  <c r="D217" i="9"/>
  <c r="D216" i="9" s="1"/>
  <c r="D215" i="9" s="1"/>
  <c r="E217" i="9"/>
  <c r="E216" i="9" s="1"/>
  <c r="E215" i="9" s="1"/>
  <c r="H869" i="7"/>
  <c r="H868" i="7" s="1"/>
  <c r="J517" i="7" l="1"/>
  <c r="H517" i="7"/>
  <c r="AD927" i="2"/>
  <c r="AD926" i="2" s="1"/>
  <c r="AF927" i="2"/>
  <c r="AF926" i="2" s="1"/>
  <c r="AE927" i="2"/>
  <c r="AE926" i="2" s="1"/>
  <c r="J516" i="7" l="1"/>
  <c r="J515" i="7" s="1"/>
  <c r="F517" i="7"/>
  <c r="D642" i="9" s="1"/>
  <c r="H516" i="7"/>
  <c r="H515" i="7" s="1"/>
  <c r="E642" i="9"/>
  <c r="F642" i="9"/>
  <c r="F516" i="7" l="1"/>
  <c r="F515" i="7" s="1"/>
  <c r="AE744" i="2" l="1"/>
  <c r="AE743" i="2" s="1"/>
  <c r="AE742" i="2" s="1"/>
  <c r="AE741" i="2" s="1"/>
  <c r="AF744" i="2"/>
  <c r="AF743" i="2" s="1"/>
  <c r="AF742" i="2" s="1"/>
  <c r="AF741" i="2" s="1"/>
  <c r="AD744" i="2"/>
  <c r="AD743" i="2" s="1"/>
  <c r="AD742" i="2" s="1"/>
  <c r="AD741" i="2" s="1"/>
  <c r="AD740" i="2" s="1"/>
  <c r="AF740" i="2" l="1"/>
  <c r="AF739" i="2" s="1"/>
  <c r="AE740" i="2"/>
  <c r="AE739" i="2" s="1"/>
  <c r="AD739" i="2"/>
  <c r="AF65" i="2"/>
  <c r="AF64" i="2" s="1"/>
  <c r="AF63" i="2" s="1"/>
  <c r="AE65" i="2"/>
  <c r="AE64" i="2" s="1"/>
  <c r="AE63" i="2" s="1"/>
  <c r="AD65" i="2"/>
  <c r="AD64" i="2" s="1"/>
  <c r="AD63" i="2" s="1"/>
  <c r="AD62" i="2" s="1"/>
  <c r="F123" i="7" l="1"/>
  <c r="F122" i="7" s="1"/>
  <c r="F121" i="7" s="1"/>
  <c r="F120" i="7" s="1"/>
  <c r="D715" i="9"/>
  <c r="D714" i="9" s="1"/>
  <c r="H123" i="7"/>
  <c r="H122" i="7" s="1"/>
  <c r="H121" i="7" s="1"/>
  <c r="H120" i="7" s="1"/>
  <c r="E715" i="9"/>
  <c r="E714" i="9" s="1"/>
  <c r="J123" i="7"/>
  <c r="J122" i="7" s="1"/>
  <c r="J121" i="7" s="1"/>
  <c r="J120" i="7" s="1"/>
  <c r="F715" i="9"/>
  <c r="F714" i="9" s="1"/>
  <c r="AE62" i="2" l="1"/>
  <c r="AF62" i="2"/>
  <c r="F20" i="10"/>
  <c r="E20" i="10"/>
  <c r="D20" i="10"/>
  <c r="F564" i="7" l="1"/>
  <c r="G563" i="7"/>
  <c r="G562" i="7" s="1"/>
  <c r="G557" i="7" s="1"/>
  <c r="J564" i="7"/>
  <c r="F359" i="9" s="1"/>
  <c r="F358" i="9" s="1"/>
  <c r="F357" i="9" s="1"/>
  <c r="F352" i="9" s="1"/>
  <c r="H564" i="7"/>
  <c r="H563" i="7" s="1"/>
  <c r="H562" i="7" s="1"/>
  <c r="H557" i="7" s="1"/>
  <c r="AE971" i="2"/>
  <c r="AF971" i="2"/>
  <c r="AF970" i="2" l="1"/>
  <c r="AF966" i="2" s="1"/>
  <c r="AE970" i="2"/>
  <c r="AE966" i="2" s="1"/>
  <c r="F563" i="7"/>
  <c r="F562" i="7" s="1"/>
  <c r="F557" i="7" s="1"/>
  <c r="G556" i="7"/>
  <c r="D359" i="9"/>
  <c r="D358" i="9" s="1"/>
  <c r="D357" i="9" s="1"/>
  <c r="D352" i="9" s="1"/>
  <c r="J563" i="7"/>
  <c r="J562" i="7" s="1"/>
  <c r="J557" i="7" s="1"/>
  <c r="E359" i="9"/>
  <c r="E358" i="9" s="1"/>
  <c r="E357" i="9" s="1"/>
  <c r="E352" i="9" s="1"/>
  <c r="AD971" i="2"/>
  <c r="AD970" i="2" s="1"/>
  <c r="AD966" i="2" l="1"/>
  <c r="F556" i="7"/>
  <c r="F555" i="7" s="1"/>
  <c r="F554" i="7" s="1"/>
  <c r="H556" i="7"/>
  <c r="H555" i="7" s="1"/>
  <c r="H554" i="7" s="1"/>
  <c r="G555" i="7"/>
  <c r="G554" i="7" s="1"/>
  <c r="AE965" i="2"/>
  <c r="AF965" i="2"/>
  <c r="AD965" i="2" l="1"/>
  <c r="AD964" i="2" s="1"/>
  <c r="AD963" i="2" s="1"/>
  <c r="AD962" i="2" s="1"/>
  <c r="E43" i="10"/>
  <c r="E42" i="10" s="1"/>
  <c r="J556" i="7"/>
  <c r="J555" i="7" s="1"/>
  <c r="J554" i="7" s="1"/>
  <c r="D43" i="10"/>
  <c r="D42" i="10" s="1"/>
  <c r="AF964" i="2"/>
  <c r="AF963" i="2" s="1"/>
  <c r="AF962" i="2" s="1"/>
  <c r="AE964" i="2"/>
  <c r="AE963" i="2" s="1"/>
  <c r="AE962" i="2" s="1"/>
  <c r="J404" i="7"/>
  <c r="G403" i="7"/>
  <c r="G402" i="7" s="1"/>
  <c r="G401" i="7" s="1"/>
  <c r="F43" i="10" l="1"/>
  <c r="F42" i="10" s="1"/>
  <c r="J403" i="7"/>
  <c r="J402" i="7" s="1"/>
  <c r="J401" i="7" s="1"/>
  <c r="F365" i="9"/>
  <c r="F364" i="9" s="1"/>
  <c r="F363" i="9" s="1"/>
  <c r="H351" i="7"/>
  <c r="E639" i="9" s="1"/>
  <c r="AD832" i="2"/>
  <c r="AD831" i="2" s="1"/>
  <c r="AD830" i="2" s="1"/>
  <c r="AE832" i="2"/>
  <c r="AE831" i="2" s="1"/>
  <c r="AE830" i="2" s="1"/>
  <c r="F351" i="7" l="1"/>
  <c r="H350" i="7"/>
  <c r="F903" i="7"/>
  <c r="F902" i="7" s="1"/>
  <c r="AE133" i="2"/>
  <c r="AE132" i="2" s="1"/>
  <c r="AE131" i="2" s="1"/>
  <c r="AE130" i="2" s="1"/>
  <c r="AE129" i="2" s="1"/>
  <c r="AF133" i="2"/>
  <c r="AF132" i="2" s="1"/>
  <c r="AF131" i="2" s="1"/>
  <c r="AF130" i="2" s="1"/>
  <c r="AF129" i="2" s="1"/>
  <c r="AD133" i="2"/>
  <c r="AD132" i="2" s="1"/>
  <c r="AD131" i="2" s="1"/>
  <c r="AD130" i="2" s="1"/>
  <c r="AD129" i="2" s="1"/>
  <c r="J710" i="7"/>
  <c r="J709" i="7" s="1"/>
  <c r="J708" i="7" s="1"/>
  <c r="H710" i="7"/>
  <c r="H709" i="7" s="1"/>
  <c r="H708" i="7" s="1"/>
  <c r="D523" i="9"/>
  <c r="D522" i="9" s="1"/>
  <c r="D521" i="9" s="1"/>
  <c r="F901" i="7" l="1"/>
  <c r="F900" i="7" s="1"/>
  <c r="F898" i="7"/>
  <c r="F899" i="7"/>
  <c r="H349" i="7"/>
  <c r="H348" i="7" s="1"/>
  <c r="F350" i="7"/>
  <c r="D639" i="9"/>
  <c r="F710" i="7"/>
  <c r="F709" i="7" s="1"/>
  <c r="F708" i="7" s="1"/>
  <c r="E523" i="9"/>
  <c r="E522" i="9" s="1"/>
  <c r="E521" i="9" s="1"/>
  <c r="F523" i="9"/>
  <c r="F522" i="9" s="1"/>
  <c r="F521" i="9" s="1"/>
  <c r="F896" i="7" l="1"/>
  <c r="F897" i="7"/>
  <c r="F349" i="7"/>
  <c r="F348" i="7" s="1"/>
  <c r="J60" i="7"/>
  <c r="F225" i="9" s="1"/>
  <c r="F224" i="9" s="1"/>
  <c r="F223" i="9" s="1"/>
  <c r="F222" i="9" s="1"/>
  <c r="F221" i="9" s="1"/>
  <c r="H60" i="7"/>
  <c r="E225" i="9" s="1"/>
  <c r="E224" i="9" s="1"/>
  <c r="E223" i="9" s="1"/>
  <c r="E222" i="9" s="1"/>
  <c r="E221" i="9" s="1"/>
  <c r="F60" i="7"/>
  <c r="D225" i="9" s="1"/>
  <c r="D224" i="9" s="1"/>
  <c r="D223" i="9" s="1"/>
  <c r="D222" i="9" s="1"/>
  <c r="D221" i="9" s="1"/>
  <c r="AE33" i="2"/>
  <c r="AE32" i="2" s="1"/>
  <c r="AE31" i="2" s="1"/>
  <c r="AE30" i="2" s="1"/>
  <c r="AF33" i="2"/>
  <c r="AF32" i="2" s="1"/>
  <c r="AF31" i="2" s="1"/>
  <c r="AF30" i="2" s="1"/>
  <c r="AD33" i="2"/>
  <c r="AD32" i="2" s="1"/>
  <c r="AD31" i="2" s="1"/>
  <c r="AD30" i="2" s="1"/>
  <c r="AF376" i="2"/>
  <c r="J260" i="7"/>
  <c r="F297" i="9" s="1"/>
  <c r="F296" i="9" s="1"/>
  <c r="F295" i="9" s="1"/>
  <c r="F294" i="9" s="1"/>
  <c r="J273" i="7"/>
  <c r="J270" i="7" s="1"/>
  <c r="H273" i="7"/>
  <c r="H270" i="7" s="1"/>
  <c r="F273" i="7"/>
  <c r="F270" i="7" s="1"/>
  <c r="H260" i="7"/>
  <c r="E297" i="9" s="1"/>
  <c r="E296" i="9" s="1"/>
  <c r="E295" i="9" s="1"/>
  <c r="E294" i="9" s="1"/>
  <c r="F260" i="7"/>
  <c r="D297" i="9" s="1"/>
  <c r="D296" i="9" s="1"/>
  <c r="D295" i="9" s="1"/>
  <c r="D294" i="9" s="1"/>
  <c r="F59" i="7" l="1"/>
  <c r="F58" i="7" s="1"/>
  <c r="F57" i="7" s="1"/>
  <c r="F56" i="7" s="1"/>
  <c r="J59" i="7"/>
  <c r="J58" i="7" s="1"/>
  <c r="J57" i="7" s="1"/>
  <c r="J56" i="7" s="1"/>
  <c r="H59" i="7"/>
  <c r="H58" i="7" s="1"/>
  <c r="H57" i="7" s="1"/>
  <c r="H56" i="7" s="1"/>
  <c r="D324" i="9"/>
  <c r="D323" i="9" s="1"/>
  <c r="D320" i="9" s="1"/>
  <c r="F324" i="9"/>
  <c r="F323" i="9" s="1"/>
  <c r="F320" i="9" s="1"/>
  <c r="E324" i="9"/>
  <c r="E323" i="9" s="1"/>
  <c r="E320" i="9" s="1"/>
  <c r="H269" i="7"/>
  <c r="H268" i="7" s="1"/>
  <c r="F269" i="7"/>
  <c r="F268" i="7" s="1"/>
  <c r="J269" i="7"/>
  <c r="J268" i="7" s="1"/>
  <c r="E319" i="9" l="1"/>
  <c r="E318" i="9" s="1"/>
  <c r="D319" i="9"/>
  <c r="D318" i="9" s="1"/>
  <c r="F319" i="9"/>
  <c r="F318" i="9" s="1"/>
  <c r="AF190" i="2" l="1"/>
  <c r="AF189" i="2" s="1"/>
  <c r="AD190" i="2" l="1"/>
  <c r="AD189" i="2" s="1"/>
  <c r="AE190" i="2"/>
  <c r="AE189" i="2" s="1"/>
  <c r="AE180" i="2"/>
  <c r="AE179" i="2" s="1"/>
  <c r="AE178" i="2" s="1"/>
  <c r="AF180" i="2"/>
  <c r="AF179" i="2" s="1"/>
  <c r="AF178" i="2" s="1"/>
  <c r="AD180" i="2"/>
  <c r="AD179" i="2" s="1"/>
  <c r="AD178" i="2" s="1"/>
  <c r="AD115" i="2" l="1"/>
  <c r="AE54" i="2"/>
  <c r="AE53" i="2" s="1"/>
  <c r="AE52" i="2" s="1"/>
  <c r="AF54" i="2"/>
  <c r="AF53" i="2" s="1"/>
  <c r="AF52" i="2" s="1"/>
  <c r="AD54" i="2"/>
  <c r="AD53" i="2" s="1"/>
  <c r="AD52" i="2" s="1"/>
  <c r="J784" i="7" l="1"/>
  <c r="H784" i="7"/>
  <c r="J787" i="7"/>
  <c r="H787" i="7"/>
  <c r="F787" i="7"/>
  <c r="AF412" i="2"/>
  <c r="AF411" i="2" s="1"/>
  <c r="AE412" i="2"/>
  <c r="AE411" i="2" s="1"/>
  <c r="AD412" i="2"/>
  <c r="AD411" i="2" s="1"/>
  <c r="AF409" i="2"/>
  <c r="AF406" i="2" s="1"/>
  <c r="AE409" i="2"/>
  <c r="AE406" i="2" s="1"/>
  <c r="AD409" i="2"/>
  <c r="AD406" i="2" s="1"/>
  <c r="J537" i="7"/>
  <c r="K537" i="7" s="1"/>
  <c r="F648" i="9" s="1"/>
  <c r="F647" i="9" s="1"/>
  <c r="I537" i="7"/>
  <c r="I536" i="7" s="1"/>
  <c r="H537" i="7"/>
  <c r="H536" i="7" s="1"/>
  <c r="F537" i="7"/>
  <c r="G537" i="7" s="1"/>
  <c r="G536" i="7" s="1"/>
  <c r="J539" i="7"/>
  <c r="K539" i="7" s="1"/>
  <c r="K538" i="7" s="1"/>
  <c r="H539" i="7"/>
  <c r="H538" i="7" s="1"/>
  <c r="F539" i="7"/>
  <c r="F538" i="7" s="1"/>
  <c r="AF946" i="2"/>
  <c r="AE946" i="2"/>
  <c r="AD946" i="2"/>
  <c r="AF944" i="2"/>
  <c r="AE944" i="2"/>
  <c r="AD944" i="2"/>
  <c r="G400" i="7"/>
  <c r="F404" i="7"/>
  <c r="J207" i="7"/>
  <c r="J206" i="7" s="1"/>
  <c r="J205" i="7" s="1"/>
  <c r="J204" i="7" s="1"/>
  <c r="J203" i="7" s="1"/>
  <c r="J202" i="7" s="1"/>
  <c r="H207" i="7"/>
  <c r="E582" i="9" s="1"/>
  <c r="F207" i="7"/>
  <c r="D582" i="9" s="1"/>
  <c r="H169" i="7"/>
  <c r="E473" i="9" s="1"/>
  <c r="E472" i="9" s="1"/>
  <c r="J167" i="7"/>
  <c r="F471" i="9" s="1"/>
  <c r="F470" i="9" s="1"/>
  <c r="H167" i="7"/>
  <c r="F167" i="7"/>
  <c r="J169" i="7"/>
  <c r="F473" i="9" s="1"/>
  <c r="F472" i="9" s="1"/>
  <c r="F169" i="7"/>
  <c r="D473" i="9" s="1"/>
  <c r="D472" i="9" s="1"/>
  <c r="H81" i="7"/>
  <c r="E502" i="9" s="1"/>
  <c r="F81" i="7"/>
  <c r="D502" i="9" s="1"/>
  <c r="F469" i="9" l="1"/>
  <c r="AE405" i="2"/>
  <c r="AF405" i="2"/>
  <c r="D365" i="9"/>
  <c r="D364" i="9" s="1"/>
  <c r="D363" i="9" s="1"/>
  <c r="H166" i="7"/>
  <c r="E471" i="9"/>
  <c r="E470" i="9" s="1"/>
  <c r="E469" i="9" s="1"/>
  <c r="F166" i="7"/>
  <c r="D471" i="9"/>
  <c r="D470" i="9" s="1"/>
  <c r="D469" i="9" s="1"/>
  <c r="F80" i="7"/>
  <c r="F79" i="7" s="1"/>
  <c r="F78" i="7" s="1"/>
  <c r="J80" i="7"/>
  <c r="J79" i="7" s="1"/>
  <c r="J78" i="7" s="1"/>
  <c r="H80" i="7"/>
  <c r="H79" i="7" s="1"/>
  <c r="H78" i="7" s="1"/>
  <c r="AD405" i="2"/>
  <c r="AF943" i="2"/>
  <c r="AF942" i="2" s="1"/>
  <c r="AF941" i="2" s="1"/>
  <c r="J536" i="7"/>
  <c r="F536" i="7"/>
  <c r="F535" i="7" s="1"/>
  <c r="D650" i="9"/>
  <c r="D649" i="9" s="1"/>
  <c r="F650" i="9"/>
  <c r="F649" i="9" s="1"/>
  <c r="F646" i="9" s="1"/>
  <c r="AE943" i="2"/>
  <c r="AE942" i="2" s="1"/>
  <c r="AE941" i="2" s="1"/>
  <c r="K536" i="7"/>
  <c r="K535" i="7" s="1"/>
  <c r="E650" i="9"/>
  <c r="E649" i="9" s="1"/>
  <c r="D648" i="9"/>
  <c r="D647" i="9" s="1"/>
  <c r="AD943" i="2"/>
  <c r="AD942" i="2" s="1"/>
  <c r="AD941" i="2" s="1"/>
  <c r="I539" i="7"/>
  <c r="I538" i="7" s="1"/>
  <c r="I535" i="7" s="1"/>
  <c r="H535" i="7"/>
  <c r="E648" i="9"/>
  <c r="E647" i="9" s="1"/>
  <c r="G539" i="7"/>
  <c r="G538" i="7" s="1"/>
  <c r="G535" i="7" s="1"/>
  <c r="J538" i="7"/>
  <c r="H206" i="7"/>
  <c r="H205" i="7" s="1"/>
  <c r="H204" i="7" s="1"/>
  <c r="H203" i="7" s="1"/>
  <c r="H202" i="7" s="1"/>
  <c r="F582" i="9"/>
  <c r="F581" i="9" s="1"/>
  <c r="F580" i="9" s="1"/>
  <c r="F579" i="9" s="1"/>
  <c r="F578" i="9" s="1"/>
  <c r="F206" i="7"/>
  <c r="F205" i="7" s="1"/>
  <c r="F204" i="7" s="1"/>
  <c r="F203" i="7" s="1"/>
  <c r="F202" i="7" s="1"/>
  <c r="H168" i="7"/>
  <c r="J166" i="7"/>
  <c r="J168" i="7"/>
  <c r="F168" i="7"/>
  <c r="E581" i="9"/>
  <c r="E580" i="9" s="1"/>
  <c r="E579" i="9" s="1"/>
  <c r="E578" i="9" s="1"/>
  <c r="D581" i="9"/>
  <c r="D580" i="9" s="1"/>
  <c r="D579" i="9" s="1"/>
  <c r="D578" i="9" s="1"/>
  <c r="A789" i="7"/>
  <c r="A790" i="7"/>
  <c r="A791" i="7"/>
  <c r="A792" i="7"/>
  <c r="A793" i="7"/>
  <c r="A794" i="7"/>
  <c r="J165" i="7" l="1"/>
  <c r="F165" i="7"/>
  <c r="H165" i="7"/>
  <c r="G399" i="7"/>
  <c r="G398" i="7" s="1"/>
  <c r="G397" i="7" s="1"/>
  <c r="H534" i="7"/>
  <c r="H533" i="7" s="1"/>
  <c r="I534" i="7"/>
  <c r="I533" i="7" s="1"/>
  <c r="K534" i="7"/>
  <c r="K533" i="7" s="1"/>
  <c r="F534" i="7"/>
  <c r="F533" i="7" s="1"/>
  <c r="G534" i="7"/>
  <c r="G533" i="7" s="1"/>
  <c r="J535" i="7"/>
  <c r="D646" i="9"/>
  <c r="E646" i="9"/>
  <c r="J534" i="7" l="1"/>
  <c r="J533" i="7" s="1"/>
  <c r="F724" i="9"/>
  <c r="F723" i="9" s="1"/>
  <c r="E724" i="9" l="1"/>
  <c r="E723" i="9" s="1"/>
  <c r="F362" i="9" l="1"/>
  <c r="F361" i="9" s="1"/>
  <c r="F403" i="7"/>
  <c r="AF847" i="2"/>
  <c r="AF846" i="2" s="1"/>
  <c r="AD847" i="2"/>
  <c r="AF844" i="2" l="1"/>
  <c r="AF845" i="2"/>
  <c r="D362" i="9"/>
  <c r="D361" i="9" s="1"/>
  <c r="F402" i="7"/>
  <c r="F401" i="7" s="1"/>
  <c r="AD846" i="2"/>
  <c r="H404" i="7"/>
  <c r="AE847" i="2"/>
  <c r="AE846" i="2" s="1"/>
  <c r="AE844" i="2" l="1"/>
  <c r="AE845" i="2"/>
  <c r="AD844" i="2"/>
  <c r="AD843" i="2" s="1"/>
  <c r="AD842" i="2" s="1"/>
  <c r="AD845" i="2"/>
  <c r="H403" i="7"/>
  <c r="H402" i="7" s="1"/>
  <c r="H401" i="7" s="1"/>
  <c r="E365" i="9"/>
  <c r="E364" i="9" s="1"/>
  <c r="E363" i="9" s="1"/>
  <c r="E362" i="9" l="1"/>
  <c r="E361" i="9" s="1"/>
  <c r="D638" i="9"/>
  <c r="D637" i="9" s="1"/>
  <c r="G493" i="7" l="1"/>
  <c r="G492" i="7" s="1"/>
  <c r="G488" i="7" s="1"/>
  <c r="J825" i="7" l="1"/>
  <c r="H825" i="7"/>
  <c r="F825" i="7"/>
  <c r="AD897" i="2" l="1"/>
  <c r="AE897" i="2"/>
  <c r="AF897" i="2"/>
  <c r="G743" i="7" l="1"/>
  <c r="I743" i="7"/>
  <c r="J208" i="7" l="1"/>
  <c r="E735" i="9"/>
  <c r="E734" i="9" s="1"/>
  <c r="E733" i="9" s="1"/>
  <c r="E726" i="9" s="1"/>
  <c r="D735" i="9"/>
  <c r="D734" i="9" s="1"/>
  <c r="D733" i="9" s="1"/>
  <c r="D726" i="9" s="1"/>
  <c r="F735" i="9" l="1"/>
  <c r="F734" i="9" s="1"/>
  <c r="F733" i="9" s="1"/>
  <c r="F726" i="9" s="1"/>
  <c r="H208" i="7"/>
  <c r="F208" i="7"/>
  <c r="AD135" i="2" l="1"/>
  <c r="AE135" i="2"/>
  <c r="AF135" i="2"/>
  <c r="E641" i="9"/>
  <c r="E640" i="9" s="1"/>
  <c r="D641" i="9"/>
  <c r="D640" i="9" s="1"/>
  <c r="F641" i="9" l="1"/>
  <c r="F640" i="9" s="1"/>
  <c r="I532" i="7" l="1"/>
  <c r="I525" i="7" s="1"/>
  <c r="G532" i="7" l="1"/>
  <c r="G525" i="7" s="1"/>
  <c r="K532" i="7"/>
  <c r="K525" i="7" s="1"/>
  <c r="H347" i="7" l="1"/>
  <c r="AD829" i="2"/>
  <c r="AE829" i="2"/>
  <c r="AE828" i="2" s="1"/>
  <c r="AD828" i="2" l="1"/>
  <c r="F347" i="7"/>
  <c r="F881" i="7" l="1"/>
  <c r="D231" i="9" s="1"/>
  <c r="D360" i="9" l="1"/>
  <c r="D351" i="9" s="1"/>
  <c r="H346" i="7" l="1"/>
  <c r="AE843" i="2" l="1"/>
  <c r="AE842" i="2" s="1"/>
  <c r="AF843" i="2"/>
  <c r="AF842" i="2" s="1"/>
  <c r="E360" i="9"/>
  <c r="E351" i="9" s="1"/>
  <c r="F360" i="9"/>
  <c r="F351" i="9" s="1"/>
  <c r="F346" i="7"/>
  <c r="F399" i="9" l="1"/>
  <c r="D165" i="9" l="1"/>
  <c r="J680" i="7" l="1"/>
  <c r="J863" i="7" l="1"/>
  <c r="F863" i="7"/>
  <c r="J849" i="7"/>
  <c r="F112" i="9" s="1"/>
  <c r="F111" i="9" s="1"/>
  <c r="H849" i="7"/>
  <c r="E112" i="9" s="1"/>
  <c r="E111" i="9" s="1"/>
  <c r="F849" i="7"/>
  <c r="D112" i="9" s="1"/>
  <c r="D111" i="9" s="1"/>
  <c r="J847" i="7"/>
  <c r="F110" i="9" s="1"/>
  <c r="F109" i="9" s="1"/>
  <c r="H847" i="7"/>
  <c r="E110" i="9" s="1"/>
  <c r="E109" i="9" s="1"/>
  <c r="F847" i="7"/>
  <c r="D110" i="9" s="1"/>
  <c r="D109" i="9" s="1"/>
  <c r="J845" i="7"/>
  <c r="F108" i="9" s="1"/>
  <c r="F107" i="9" s="1"/>
  <c r="H845" i="7"/>
  <c r="E108" i="9" s="1"/>
  <c r="E107" i="9" s="1"/>
  <c r="F845" i="7"/>
  <c r="D108" i="9" s="1"/>
  <c r="D107" i="9" s="1"/>
  <c r="H753" i="7"/>
  <c r="F753" i="7"/>
  <c r="J744" i="7"/>
  <c r="J743" i="7" s="1"/>
  <c r="H744" i="7"/>
  <c r="H743" i="7" s="1"/>
  <c r="J733" i="7"/>
  <c r="H733" i="7"/>
  <c r="F733" i="7"/>
  <c r="J730" i="7"/>
  <c r="H730" i="7"/>
  <c r="F730" i="7"/>
  <c r="J727" i="7"/>
  <c r="H727" i="7"/>
  <c r="F727" i="7"/>
  <c r="J724" i="7"/>
  <c r="H724" i="7"/>
  <c r="F724" i="7"/>
  <c r="J692" i="7"/>
  <c r="H692" i="7"/>
  <c r="F692" i="7"/>
  <c r="J691" i="7"/>
  <c r="H691" i="7"/>
  <c r="F691" i="7"/>
  <c r="J690" i="7"/>
  <c r="H690" i="7"/>
  <c r="F690" i="7"/>
  <c r="J686" i="7"/>
  <c r="H686" i="7"/>
  <c r="E165" i="9" s="1"/>
  <c r="F686" i="7"/>
  <c r="H680" i="7"/>
  <c r="I680" i="7" s="1"/>
  <c r="F680" i="7"/>
  <c r="J642" i="7"/>
  <c r="H642" i="7"/>
  <c r="F642" i="7"/>
  <c r="J628" i="7"/>
  <c r="H628" i="7"/>
  <c r="F628" i="7"/>
  <c r="J615" i="7"/>
  <c r="H615" i="7"/>
  <c r="F615" i="7"/>
  <c r="J612" i="7"/>
  <c r="H612" i="7"/>
  <c r="F612" i="7"/>
  <c r="J607" i="7"/>
  <c r="H607" i="7"/>
  <c r="F607" i="7"/>
  <c r="J586" i="7"/>
  <c r="H586" i="7"/>
  <c r="F586" i="7"/>
  <c r="J580" i="7"/>
  <c r="H580" i="7"/>
  <c r="F580" i="7"/>
  <c r="J553" i="7"/>
  <c r="H553" i="7"/>
  <c r="F553" i="7"/>
  <c r="J550" i="7"/>
  <c r="H550" i="7"/>
  <c r="F550" i="7"/>
  <c r="J545" i="7"/>
  <c r="H545" i="7"/>
  <c r="F545" i="7"/>
  <c r="J508" i="7"/>
  <c r="H508" i="7"/>
  <c r="F508" i="7"/>
  <c r="J505" i="7"/>
  <c r="H505" i="7"/>
  <c r="E627" i="9" s="1"/>
  <c r="F505" i="7"/>
  <c r="D627" i="9" s="1"/>
  <c r="H494" i="7"/>
  <c r="F494" i="7"/>
  <c r="J485" i="7"/>
  <c r="J313" i="7"/>
  <c r="H313" i="7"/>
  <c r="F313" i="7"/>
  <c r="J178" i="7"/>
  <c r="H178" i="7"/>
  <c r="F178" i="7"/>
  <c r="J159" i="7"/>
  <c r="H159" i="7"/>
  <c r="F159" i="7"/>
  <c r="J156" i="7"/>
  <c r="H156" i="7"/>
  <c r="F156" i="7"/>
  <c r="J153" i="7"/>
  <c r="H153" i="7"/>
  <c r="F153" i="7"/>
  <c r="AE79" i="2"/>
  <c r="AF79" i="2"/>
  <c r="AD79" i="2"/>
  <c r="J119" i="7"/>
  <c r="H119" i="7"/>
  <c r="F119" i="7"/>
  <c r="J116" i="7"/>
  <c r="F501" i="9" s="1"/>
  <c r="F500" i="9" s="1"/>
  <c r="F499" i="9" s="1"/>
  <c r="H116" i="7"/>
  <c r="E501" i="9" s="1"/>
  <c r="E500" i="9" s="1"/>
  <c r="E499" i="9" s="1"/>
  <c r="F116" i="7"/>
  <c r="D501" i="9" s="1"/>
  <c r="D500" i="9" s="1"/>
  <c r="D499" i="9" s="1"/>
  <c r="J113" i="7"/>
  <c r="H113" i="7"/>
  <c r="F113" i="7"/>
  <c r="J110" i="7"/>
  <c r="H110" i="7"/>
  <c r="F110" i="7"/>
  <c r="J101" i="7"/>
  <c r="H101" i="7"/>
  <c r="F101" i="7"/>
  <c r="J98" i="7"/>
  <c r="H98" i="7"/>
  <c r="F98" i="7"/>
  <c r="J95" i="7"/>
  <c r="H95" i="7"/>
  <c r="F95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03" i="9" l="1"/>
  <c r="F103" i="9"/>
  <c r="D612" i="9"/>
  <c r="E103" i="9"/>
  <c r="AD735" i="2" l="1"/>
  <c r="AD734" i="2" s="1"/>
  <c r="AE1027" i="2" l="1"/>
  <c r="AE1026" i="2" s="1"/>
  <c r="AF1027" i="2"/>
  <c r="AF1026" i="2" s="1"/>
  <c r="AD1027" i="2"/>
  <c r="AD1026" i="2" s="1"/>
  <c r="AE918" i="2"/>
  <c r="AE917" i="2" s="1"/>
  <c r="AF918" i="2"/>
  <c r="AF917" i="2" s="1"/>
  <c r="AD918" i="2"/>
  <c r="AD917" i="2" s="1"/>
  <c r="AE735" i="2"/>
  <c r="AE734" i="2" s="1"/>
  <c r="AF735" i="2"/>
  <c r="AF734" i="2" s="1"/>
  <c r="AF1035" i="2"/>
  <c r="AF1034" i="2" s="1"/>
  <c r="AF1033" i="2" s="1"/>
  <c r="AF1032" i="2" s="1"/>
  <c r="AF1031" i="2" s="1"/>
  <c r="AF1030" i="2" s="1"/>
  <c r="AF1029" i="2" s="1"/>
  <c r="AE1035" i="2"/>
  <c r="AE1034" i="2" s="1"/>
  <c r="AE1033" i="2" s="1"/>
  <c r="AE1032" i="2" s="1"/>
  <c r="AE1031" i="2" s="1"/>
  <c r="AE1030" i="2" s="1"/>
  <c r="AE1029" i="2" s="1"/>
  <c r="AD1035" i="2"/>
  <c r="AD1034" i="2" s="1"/>
  <c r="AD1033" i="2" s="1"/>
  <c r="AD1032" i="2" s="1"/>
  <c r="AD1031" i="2" s="1"/>
  <c r="AD1030" i="2" s="1"/>
  <c r="AD1029" i="2" s="1"/>
  <c r="AF1024" i="2"/>
  <c r="AF1023" i="2" s="1"/>
  <c r="AE1024" i="2"/>
  <c r="AE1023" i="2" s="1"/>
  <c r="AD1024" i="2"/>
  <c r="AD1023" i="2" s="1"/>
  <c r="AF1021" i="2"/>
  <c r="AF1020" i="2" s="1"/>
  <c r="AE1021" i="2"/>
  <c r="AE1020" i="2" s="1"/>
  <c r="AD1021" i="2"/>
  <c r="AD1020" i="2" s="1"/>
  <c r="AF1018" i="2"/>
  <c r="AF1017" i="2" s="1"/>
  <c r="AE1018" i="2"/>
  <c r="AE1017" i="2" s="1"/>
  <c r="AD1018" i="2"/>
  <c r="AD1017" i="2" s="1"/>
  <c r="AF979" i="2"/>
  <c r="AF978" i="2" s="1"/>
  <c r="AF977" i="2" s="1"/>
  <c r="AF976" i="2" s="1"/>
  <c r="AF975" i="2" s="1"/>
  <c r="AF974" i="2" s="1"/>
  <c r="AE979" i="2"/>
  <c r="AE978" i="2" s="1"/>
  <c r="AE977" i="2" s="1"/>
  <c r="AE976" i="2" s="1"/>
  <c r="AE975" i="2" s="1"/>
  <c r="AE974" i="2" s="1"/>
  <c r="AD979" i="2"/>
  <c r="AD978" i="2" s="1"/>
  <c r="AD977" i="2" s="1"/>
  <c r="AD976" i="2" s="1"/>
  <c r="AD975" i="2" s="1"/>
  <c r="AD974" i="2" s="1"/>
  <c r="AF960" i="2"/>
  <c r="AF959" i="2" s="1"/>
  <c r="AE960" i="2"/>
  <c r="AE959" i="2" s="1"/>
  <c r="AD960" i="2"/>
  <c r="AD959" i="2" s="1"/>
  <c r="AF957" i="2"/>
  <c r="AF956" i="2" s="1"/>
  <c r="AE957" i="2"/>
  <c r="AE956" i="2" s="1"/>
  <c r="AD957" i="2"/>
  <c r="AD956" i="2" s="1"/>
  <c r="AF952" i="2"/>
  <c r="AF951" i="2" s="1"/>
  <c r="AE952" i="2"/>
  <c r="AE951" i="2" s="1"/>
  <c r="AD952" i="2"/>
  <c r="AD951" i="2" s="1"/>
  <c r="AF915" i="2"/>
  <c r="AF914" i="2" s="1"/>
  <c r="AE915" i="2"/>
  <c r="AE914" i="2" s="1"/>
  <c r="AE910" i="2" s="1"/>
  <c r="AD915" i="2"/>
  <c r="AD914" i="2" s="1"/>
  <c r="AD910" i="2" s="1"/>
  <c r="AE904" i="2"/>
  <c r="AE903" i="2" s="1"/>
  <c r="AE899" i="2" s="1"/>
  <c r="AD904" i="2"/>
  <c r="AD903" i="2" s="1"/>
  <c r="AD899" i="2" s="1"/>
  <c r="AF896" i="2"/>
  <c r="AF886" i="2" s="1"/>
  <c r="AF826" i="2"/>
  <c r="AF825" i="2" s="1"/>
  <c r="AF824" i="2" s="1"/>
  <c r="AF823" i="2" s="1"/>
  <c r="AE826" i="2"/>
  <c r="AE825" i="2" s="1"/>
  <c r="AE824" i="2" s="1"/>
  <c r="AE823" i="2" s="1"/>
  <c r="AF814" i="2"/>
  <c r="AF811" i="2" s="1"/>
  <c r="AE814" i="2"/>
  <c r="AE811" i="2" s="1"/>
  <c r="AD814" i="2"/>
  <c r="AD811" i="2" s="1"/>
  <c r="AF796" i="2"/>
  <c r="AE796" i="2"/>
  <c r="AD796" i="2"/>
  <c r="AF794" i="2"/>
  <c r="AE794" i="2"/>
  <c r="AD794" i="2"/>
  <c r="AF792" i="2"/>
  <c r="AE792" i="2"/>
  <c r="AD792" i="2"/>
  <c r="AF785" i="2"/>
  <c r="AF784" i="2" s="1"/>
  <c r="AF783" i="2" s="1"/>
  <c r="AF782" i="2" s="1"/>
  <c r="AF781" i="2" s="1"/>
  <c r="AF780" i="2" s="1"/>
  <c r="AE785" i="2"/>
  <c r="AE784" i="2" s="1"/>
  <c r="AE783" i="2" s="1"/>
  <c r="AE782" i="2" s="1"/>
  <c r="AE781" i="2" s="1"/>
  <c r="AE780" i="2" s="1"/>
  <c r="AD785" i="2"/>
  <c r="AD784" i="2" s="1"/>
  <c r="AD783" i="2" s="1"/>
  <c r="AD782" i="2" s="1"/>
  <c r="AD781" i="2" s="1"/>
  <c r="AD780" i="2" s="1"/>
  <c r="AE777" i="2"/>
  <c r="AE776" i="2" s="1"/>
  <c r="AE775" i="2" s="1"/>
  <c r="AD777" i="2"/>
  <c r="AD776" i="2" s="1"/>
  <c r="AD775" i="2" s="1"/>
  <c r="AF768" i="2"/>
  <c r="AF767" i="2" s="1"/>
  <c r="AE768" i="2"/>
  <c r="AE767" i="2" s="1"/>
  <c r="AD768" i="2"/>
  <c r="AD767" i="2" s="1"/>
  <c r="AF761" i="2"/>
  <c r="AF760" i="2" s="1"/>
  <c r="AE761" i="2"/>
  <c r="AE760" i="2" s="1"/>
  <c r="AD761" i="2"/>
  <c r="AD760" i="2" s="1"/>
  <c r="AF758" i="2"/>
  <c r="AF757" i="2" s="1"/>
  <c r="AE758" i="2"/>
  <c r="AE757" i="2" s="1"/>
  <c r="AD758" i="2"/>
  <c r="AD757" i="2" s="1"/>
  <c r="AF755" i="2"/>
  <c r="AF754" i="2" s="1"/>
  <c r="AE755" i="2"/>
  <c r="AE754" i="2" s="1"/>
  <c r="AD755" i="2"/>
  <c r="AD754" i="2" s="1"/>
  <c r="AF752" i="2"/>
  <c r="AF751" i="2" s="1"/>
  <c r="AE752" i="2"/>
  <c r="AE751" i="2" s="1"/>
  <c r="AD752" i="2"/>
  <c r="AD751" i="2" s="1"/>
  <c r="AD733" i="2"/>
  <c r="AF731" i="2"/>
  <c r="AF730" i="2" s="1"/>
  <c r="AF729" i="2" s="1"/>
  <c r="AE731" i="2"/>
  <c r="AE730" i="2" s="1"/>
  <c r="AE729" i="2" s="1"/>
  <c r="AD731" i="2"/>
  <c r="AD730" i="2" s="1"/>
  <c r="AD729" i="2" s="1"/>
  <c r="AF725" i="2"/>
  <c r="AF724" i="2" s="1"/>
  <c r="AF723" i="2" s="1"/>
  <c r="AF722" i="2" s="1"/>
  <c r="AE725" i="2"/>
  <c r="AE724" i="2" s="1"/>
  <c r="AE723" i="2" s="1"/>
  <c r="AE722" i="2" s="1"/>
  <c r="AD725" i="2"/>
  <c r="AD724" i="2" s="1"/>
  <c r="AD723" i="2" s="1"/>
  <c r="AD722" i="2" s="1"/>
  <c r="AF701" i="2"/>
  <c r="AF700" i="2" s="1"/>
  <c r="AF699" i="2" s="1"/>
  <c r="AE701" i="2"/>
  <c r="AE700" i="2" s="1"/>
  <c r="AE699" i="2" s="1"/>
  <c r="AD701" i="2"/>
  <c r="AD700" i="2" s="1"/>
  <c r="AD699" i="2" s="1"/>
  <c r="AF687" i="2"/>
  <c r="AF686" i="2" s="1"/>
  <c r="AF685" i="2" s="1"/>
  <c r="AE687" i="2"/>
  <c r="AE686" i="2" s="1"/>
  <c r="AE685" i="2" s="1"/>
  <c r="AD687" i="2"/>
  <c r="AD686" i="2" s="1"/>
  <c r="AD685" i="2" s="1"/>
  <c r="AF674" i="2"/>
  <c r="AF673" i="2" s="1"/>
  <c r="AE674" i="2"/>
  <c r="AE673" i="2" s="1"/>
  <c r="AD674" i="2"/>
  <c r="AD673" i="2" s="1"/>
  <c r="AF671" i="2"/>
  <c r="AF668" i="2" s="1"/>
  <c r="AE671" i="2"/>
  <c r="AE668" i="2" s="1"/>
  <c r="AD671" i="2"/>
  <c r="AD668" i="2" s="1"/>
  <c r="AF666" i="2"/>
  <c r="AF665" i="2" s="1"/>
  <c r="AE666" i="2"/>
  <c r="AE665" i="2" s="1"/>
  <c r="AD666" i="2"/>
  <c r="AD665" i="2" s="1"/>
  <c r="AF645" i="2"/>
  <c r="AF644" i="2" s="1"/>
  <c r="AE645" i="2"/>
  <c r="AE644" i="2" s="1"/>
  <c r="AD645" i="2"/>
  <c r="AD644" i="2" s="1"/>
  <c r="AF639" i="2"/>
  <c r="AF638" i="2" s="1"/>
  <c r="AF637" i="2" s="1"/>
  <c r="AE639" i="2"/>
  <c r="AE638" i="2" s="1"/>
  <c r="AE637" i="2" s="1"/>
  <c r="AD639" i="2"/>
  <c r="AD638" i="2" s="1"/>
  <c r="AD637" i="2" s="1"/>
  <c r="AF630" i="2"/>
  <c r="AF629" i="2" s="1"/>
  <c r="AF628" i="2" s="1"/>
  <c r="AF627" i="2" s="1"/>
  <c r="AF626" i="2" s="1"/>
  <c r="AF625" i="2" s="1"/>
  <c r="AF624" i="2" s="1"/>
  <c r="AE630" i="2"/>
  <c r="AE629" i="2" s="1"/>
  <c r="AE628" i="2" s="1"/>
  <c r="AE627" i="2" s="1"/>
  <c r="AE626" i="2" s="1"/>
  <c r="AE625" i="2" s="1"/>
  <c r="AE624" i="2" s="1"/>
  <c r="AD630" i="2"/>
  <c r="AD629" i="2" s="1"/>
  <c r="AD628" i="2" s="1"/>
  <c r="AD627" i="2" s="1"/>
  <c r="AD626" i="2" s="1"/>
  <c r="AD625" i="2" s="1"/>
  <c r="AD624" i="2" s="1"/>
  <c r="AF621" i="2"/>
  <c r="AE621" i="2"/>
  <c r="AE620" i="2" s="1"/>
  <c r="AD621" i="2"/>
  <c r="AD620" i="2" s="1"/>
  <c r="AF614" i="2"/>
  <c r="AF613" i="2" s="1"/>
  <c r="AF612" i="2" s="1"/>
  <c r="AF611" i="2" s="1"/>
  <c r="AF610" i="2" s="1"/>
  <c r="AF609" i="2" s="1"/>
  <c r="AE614" i="2"/>
  <c r="AE613" i="2" s="1"/>
  <c r="AE612" i="2" s="1"/>
  <c r="AE611" i="2" s="1"/>
  <c r="AE610" i="2" s="1"/>
  <c r="AE609" i="2" s="1"/>
  <c r="AD614" i="2"/>
  <c r="AD613" i="2" s="1"/>
  <c r="AD612" i="2" s="1"/>
  <c r="AD611" i="2" s="1"/>
  <c r="AD610" i="2" s="1"/>
  <c r="AD609" i="2" s="1"/>
  <c r="AF594" i="2"/>
  <c r="AE594" i="2"/>
  <c r="AD594" i="2"/>
  <c r="AB594" i="2"/>
  <c r="AB593" i="2" s="1"/>
  <c r="AF593" i="2"/>
  <c r="AE593" i="2"/>
  <c r="AD593" i="2"/>
  <c r="AF591" i="2"/>
  <c r="AE591" i="2"/>
  <c r="AD591" i="2"/>
  <c r="AB591" i="2"/>
  <c r="AB590" i="2" s="1"/>
  <c r="AF590" i="2"/>
  <c r="AE590" i="2"/>
  <c r="AD590" i="2"/>
  <c r="AF588" i="2"/>
  <c r="AF587" i="2" s="1"/>
  <c r="AE588" i="2"/>
  <c r="AE587" i="2" s="1"/>
  <c r="AD588" i="2"/>
  <c r="AD587" i="2" s="1"/>
  <c r="AF583" i="2"/>
  <c r="AE583" i="2"/>
  <c r="AD583" i="2"/>
  <c r="AF581" i="2"/>
  <c r="AE581" i="2"/>
  <c r="AD581" i="2"/>
  <c r="AF575" i="2"/>
  <c r="AE575" i="2"/>
  <c r="AD575" i="2"/>
  <c r="AF910" i="2" l="1"/>
  <c r="AF909" i="2" s="1"/>
  <c r="AD664" i="2"/>
  <c r="AE574" i="2"/>
  <c r="AE573" i="2" s="1"/>
  <c r="AF574" i="2"/>
  <c r="AF573" i="2" s="1"/>
  <c r="AD574" i="2"/>
  <c r="AD573" i="2" s="1"/>
  <c r="AE636" i="2"/>
  <c r="AE635" i="2" s="1"/>
  <c r="AF636" i="2"/>
  <c r="AF635" i="2" s="1"/>
  <c r="AD909" i="2"/>
  <c r="AD636" i="2"/>
  <c r="AD635" i="2" s="1"/>
  <c r="AE909" i="2"/>
  <c r="AD660" i="2"/>
  <c r="AE817" i="2"/>
  <c r="AF817" i="2"/>
  <c r="AE619" i="2"/>
  <c r="AE618" i="2" s="1"/>
  <c r="AE617" i="2" s="1"/>
  <c r="AE616" i="2" s="1"/>
  <c r="AE608" i="2" s="1"/>
  <c r="AD619" i="2"/>
  <c r="AD618" i="2" s="1"/>
  <c r="AD617" i="2" s="1"/>
  <c r="AD616" i="2" s="1"/>
  <c r="AD608" i="2" s="1"/>
  <c r="AE728" i="2"/>
  <c r="AF728" i="2"/>
  <c r="AF664" i="2"/>
  <c r="AF660" i="2" s="1"/>
  <c r="AF659" i="2" s="1"/>
  <c r="AE664" i="2"/>
  <c r="AE660" i="2" s="1"/>
  <c r="AE659" i="2" s="1"/>
  <c r="AF620" i="2"/>
  <c r="AD810" i="2"/>
  <c r="AD809" i="2" s="1"/>
  <c r="AD808" i="2" s="1"/>
  <c r="AD807" i="2" s="1"/>
  <c r="AE810" i="2"/>
  <c r="AE809" i="2" s="1"/>
  <c r="AE808" i="2" s="1"/>
  <c r="AE807" i="2" s="1"/>
  <c r="AF810" i="2"/>
  <c r="AF809" i="2" s="1"/>
  <c r="AF808" i="2" s="1"/>
  <c r="AF807" i="2" s="1"/>
  <c r="AD771" i="2"/>
  <c r="AD770" i="2" s="1"/>
  <c r="AD766" i="2" s="1"/>
  <c r="AD765" i="2" s="1"/>
  <c r="F747" i="7"/>
  <c r="AF770" i="2"/>
  <c r="AF766" i="2" s="1"/>
  <c r="AE771" i="2"/>
  <c r="AE770" i="2" s="1"/>
  <c r="AE766" i="2" s="1"/>
  <c r="AD896" i="2"/>
  <c r="AD886" i="2" s="1"/>
  <c r="AF904" i="2"/>
  <c r="AF903" i="2" s="1"/>
  <c r="AF899" i="2" s="1"/>
  <c r="J494" i="7"/>
  <c r="AE896" i="2"/>
  <c r="AE886" i="2" s="1"/>
  <c r="H485" i="7"/>
  <c r="AD996" i="2"/>
  <c r="AD995" i="2" s="1"/>
  <c r="AD991" i="2" s="1"/>
  <c r="F858" i="7"/>
  <c r="AF996" i="2"/>
  <c r="AF995" i="2" s="1"/>
  <c r="AF991" i="2" s="1"/>
  <c r="AF777" i="2"/>
  <c r="AF776" i="2" s="1"/>
  <c r="AF775" i="2" s="1"/>
  <c r="J753" i="7"/>
  <c r="AD826" i="2"/>
  <c r="AE996" i="2"/>
  <c r="AE995" i="2" s="1"/>
  <c r="AE991" i="2" s="1"/>
  <c r="H858" i="7"/>
  <c r="AE1016" i="2"/>
  <c r="AE1015" i="2" s="1"/>
  <c r="AE1008" i="2" s="1"/>
  <c r="AF1016" i="2"/>
  <c r="AF1015" i="2" s="1"/>
  <c r="AF1008" i="2" s="1"/>
  <c r="AD1016" i="2"/>
  <c r="AD1015" i="2" s="1"/>
  <c r="AD1008" i="2" s="1"/>
  <c r="AE586" i="2"/>
  <c r="AE585" i="2" s="1"/>
  <c r="AE733" i="2"/>
  <c r="AF586" i="2"/>
  <c r="AF585" i="2" s="1"/>
  <c r="AF791" i="2"/>
  <c r="AF790" i="2" s="1"/>
  <c r="AF789" i="2" s="1"/>
  <c r="AF788" i="2" s="1"/>
  <c r="AF787" i="2" s="1"/>
  <c r="AF779" i="2" s="1"/>
  <c r="AF580" i="2"/>
  <c r="AF579" i="2" s="1"/>
  <c r="AD586" i="2"/>
  <c r="AD585" i="2" s="1"/>
  <c r="AE580" i="2"/>
  <c r="AE579" i="2" s="1"/>
  <c r="AE791" i="2"/>
  <c r="AE790" i="2" s="1"/>
  <c r="AE789" i="2" s="1"/>
  <c r="AE788" i="2" s="1"/>
  <c r="AE787" i="2" s="1"/>
  <c r="AE779" i="2" s="1"/>
  <c r="AD950" i="2"/>
  <c r="AD949" i="2" s="1"/>
  <c r="AD580" i="2"/>
  <c r="AD579" i="2" s="1"/>
  <c r="AF841" i="2"/>
  <c r="AE841" i="2"/>
  <c r="AE750" i="2"/>
  <c r="AE749" i="2" s="1"/>
  <c r="AE748" i="2" s="1"/>
  <c r="AE747" i="2" s="1"/>
  <c r="AD791" i="2"/>
  <c r="AD790" i="2" s="1"/>
  <c r="AD789" i="2" s="1"/>
  <c r="AD788" i="2" s="1"/>
  <c r="AD787" i="2" s="1"/>
  <c r="AD779" i="2" s="1"/>
  <c r="AF950" i="2"/>
  <c r="AF949" i="2" s="1"/>
  <c r="AF750" i="2"/>
  <c r="AF749" i="2" s="1"/>
  <c r="AF748" i="2" s="1"/>
  <c r="AF747" i="2" s="1"/>
  <c r="AD750" i="2"/>
  <c r="AD749" i="2" s="1"/>
  <c r="AD748" i="2" s="1"/>
  <c r="AD747" i="2" s="1"/>
  <c r="AF733" i="2"/>
  <c r="AE950" i="2"/>
  <c r="AE949" i="2" s="1"/>
  <c r="AE948" i="2" s="1"/>
  <c r="AF566" i="2"/>
  <c r="AF565" i="2" s="1"/>
  <c r="AF564" i="2" s="1"/>
  <c r="AF563" i="2" s="1"/>
  <c r="AF562" i="2" s="1"/>
  <c r="AF561" i="2" s="1"/>
  <c r="AF560" i="2" s="1"/>
  <c r="AE566" i="2"/>
  <c r="AE565" i="2" s="1"/>
  <c r="AE564" i="2" s="1"/>
  <c r="AE563" i="2" s="1"/>
  <c r="AE562" i="2" s="1"/>
  <c r="AE561" i="2" s="1"/>
  <c r="AE560" i="2" s="1"/>
  <c r="AD566" i="2"/>
  <c r="AD565" i="2" s="1"/>
  <c r="AD564" i="2" s="1"/>
  <c r="AD563" i="2" s="1"/>
  <c r="AD562" i="2" s="1"/>
  <c r="AD561" i="2" s="1"/>
  <c r="AD560" i="2" s="1"/>
  <c r="AF548" i="2"/>
  <c r="AE548" i="2"/>
  <c r="AD548" i="2"/>
  <c r="AB548" i="2"/>
  <c r="AB547" i="2" s="1"/>
  <c r="AF547" i="2"/>
  <c r="AE547" i="2"/>
  <c r="AD547" i="2"/>
  <c r="AF545" i="2"/>
  <c r="AE545" i="2"/>
  <c r="AD545" i="2"/>
  <c r="AB545" i="2"/>
  <c r="AB544" i="2" s="1"/>
  <c r="AF544" i="2"/>
  <c r="AE544" i="2"/>
  <c r="AD544" i="2"/>
  <c r="AF542" i="2"/>
  <c r="AF541" i="2" s="1"/>
  <c r="AE542" i="2"/>
  <c r="AE541" i="2" s="1"/>
  <c r="AD542" i="2"/>
  <c r="AD541" i="2" s="1"/>
  <c r="AD659" i="2" l="1"/>
  <c r="AD658" i="2" s="1"/>
  <c r="AE658" i="2"/>
  <c r="AE657" i="2" s="1"/>
  <c r="AD728" i="2"/>
  <c r="AD727" i="2" s="1"/>
  <c r="AD721" i="2" s="1"/>
  <c r="AD720" i="2" s="1"/>
  <c r="AD825" i="2"/>
  <c r="AF619" i="2"/>
  <c r="AF618" i="2" s="1"/>
  <c r="AF617" i="2" s="1"/>
  <c r="AF616" i="2" s="1"/>
  <c r="AF608" i="2" s="1"/>
  <c r="AE540" i="2"/>
  <c r="AD990" i="2"/>
  <c r="AD989" i="2" s="1"/>
  <c r="AD988" i="2" s="1"/>
  <c r="AD973" i="2" s="1"/>
  <c r="AF990" i="2"/>
  <c r="AF989" i="2" s="1"/>
  <c r="AF988" i="2" s="1"/>
  <c r="AF973" i="2" s="1"/>
  <c r="AE990" i="2"/>
  <c r="AE989" i="2" s="1"/>
  <c r="AE988" i="2" s="1"/>
  <c r="AE973" i="2" s="1"/>
  <c r="AE885" i="2"/>
  <c r="AD885" i="2"/>
  <c r="AD884" i="2" s="1"/>
  <c r="AD883" i="2" s="1"/>
  <c r="AD1007" i="2"/>
  <c r="AD1006" i="2" s="1"/>
  <c r="AF1007" i="2"/>
  <c r="AF1006" i="2" s="1"/>
  <c r="AE1007" i="2"/>
  <c r="AE1006" i="2" s="1"/>
  <c r="AE765" i="2"/>
  <c r="AE764" i="2" s="1"/>
  <c r="AE763" i="2" s="1"/>
  <c r="AF765" i="2"/>
  <c r="AF764" i="2" s="1"/>
  <c r="AF763" i="2" s="1"/>
  <c r="AE727" i="2"/>
  <c r="AE721" i="2" s="1"/>
  <c r="AE720" i="2" s="1"/>
  <c r="AD774" i="2"/>
  <c r="AD773" i="2" s="1"/>
  <c r="AF727" i="2"/>
  <c r="AF721" i="2" s="1"/>
  <c r="AF720" i="2" s="1"/>
  <c r="AF774" i="2"/>
  <c r="AF773" i="2" s="1"/>
  <c r="AE774" i="2"/>
  <c r="AE773" i="2" s="1"/>
  <c r="AF634" i="2"/>
  <c r="AF633" i="2" s="1"/>
  <c r="AE634" i="2"/>
  <c r="AE633" i="2" s="1"/>
  <c r="AD764" i="2"/>
  <c r="AD763" i="2" s="1"/>
  <c r="AF948" i="2"/>
  <c r="AD948" i="2"/>
  <c r="AD841" i="2"/>
  <c r="AD540" i="2"/>
  <c r="AD539" i="2" s="1"/>
  <c r="AD538" i="2" s="1"/>
  <c r="AD572" i="2"/>
  <c r="AD571" i="2" s="1"/>
  <c r="AD570" i="2" s="1"/>
  <c r="AE572" i="2"/>
  <c r="AE571" i="2" s="1"/>
  <c r="AE570" i="2" s="1"/>
  <c r="AF572" i="2"/>
  <c r="AF571" i="2" s="1"/>
  <c r="AF570" i="2" s="1"/>
  <c r="AE539" i="2"/>
  <c r="AE538" i="2" s="1"/>
  <c r="AF540" i="2"/>
  <c r="AF539" i="2" s="1"/>
  <c r="AF538" i="2" s="1"/>
  <c r="AF885" i="2"/>
  <c r="AD569" i="2" l="1"/>
  <c r="AD568" i="2" s="1"/>
  <c r="AE816" i="2"/>
  <c r="AE806" i="2" s="1"/>
  <c r="AD824" i="2"/>
  <c r="AD823" i="2" s="1"/>
  <c r="AD817" i="2" s="1"/>
  <c r="AD816" i="2" s="1"/>
  <c r="AD806" i="2" s="1"/>
  <c r="AF537" i="2"/>
  <c r="AF536" i="2" s="1"/>
  <c r="AF535" i="2" s="1"/>
  <c r="AE537" i="2"/>
  <c r="AE536" i="2" s="1"/>
  <c r="AE535" i="2" s="1"/>
  <c r="AD537" i="2"/>
  <c r="AD536" i="2" s="1"/>
  <c r="AD535" i="2" s="1"/>
  <c r="AF746" i="2"/>
  <c r="AD746" i="2"/>
  <c r="AE746" i="2"/>
  <c r="AE940" i="2"/>
  <c r="AE933" i="2" s="1"/>
  <c r="AD940" i="2"/>
  <c r="AD933" i="2" s="1"/>
  <c r="AD834" i="2" s="1"/>
  <c r="AF940" i="2"/>
  <c r="AF933" i="2" s="1"/>
  <c r="AD634" i="2"/>
  <c r="AD633" i="2" s="1"/>
  <c r="AF658" i="2"/>
  <c r="AF657" i="2" s="1"/>
  <c r="AD657" i="2"/>
  <c r="AF569" i="2"/>
  <c r="AF568" i="2" s="1"/>
  <c r="AE569" i="2"/>
  <c r="AE568" i="2" s="1"/>
  <c r="AF632" i="2" l="1"/>
  <c r="AF623" i="2" s="1"/>
  <c r="AE632" i="2"/>
  <c r="AE623" i="2" s="1"/>
  <c r="AD534" i="2"/>
  <c r="AE534" i="2"/>
  <c r="AF534" i="2"/>
  <c r="AD632" i="2"/>
  <c r="AD623" i="2" s="1"/>
  <c r="AF532" i="2"/>
  <c r="AF531" i="2" s="1"/>
  <c r="AF530" i="2" s="1"/>
  <c r="AF529" i="2" s="1"/>
  <c r="AF528" i="2" s="1"/>
  <c r="AE532" i="2"/>
  <c r="AE531" i="2" s="1"/>
  <c r="AE530" i="2" s="1"/>
  <c r="AE529" i="2" s="1"/>
  <c r="AE528" i="2" s="1"/>
  <c r="AD532" i="2"/>
  <c r="AD531" i="2" s="1"/>
  <c r="AD530" i="2" s="1"/>
  <c r="AD529" i="2" s="1"/>
  <c r="AD528" i="2" s="1"/>
  <c r="AF524" i="2"/>
  <c r="AF523" i="2" s="1"/>
  <c r="AE524" i="2"/>
  <c r="AE523" i="2" s="1"/>
  <c r="AD524" i="2"/>
  <c r="AD523" i="2" s="1"/>
  <c r="AF521" i="2"/>
  <c r="AF520" i="2" s="1"/>
  <c r="AE521" i="2"/>
  <c r="AE520" i="2" s="1"/>
  <c r="AD521" i="2"/>
  <c r="AD520" i="2" s="1"/>
  <c r="AF518" i="2"/>
  <c r="AF517" i="2" s="1"/>
  <c r="AE518" i="2"/>
  <c r="AE517" i="2" s="1"/>
  <c r="AD518" i="2"/>
  <c r="AD517" i="2" s="1"/>
  <c r="AF514" i="2"/>
  <c r="AE514" i="2"/>
  <c r="AD514" i="2"/>
  <c r="AF513" i="2"/>
  <c r="AE513" i="2"/>
  <c r="AD513" i="2"/>
  <c r="AF511" i="2"/>
  <c r="AF510" i="2" s="1"/>
  <c r="AE511" i="2"/>
  <c r="AE510" i="2" s="1"/>
  <c r="AD511" i="2"/>
  <c r="AD510" i="2" s="1"/>
  <c r="AD798" i="2" l="1"/>
  <c r="AD516" i="2"/>
  <c r="AD509" i="2" s="1"/>
  <c r="AD502" i="2" s="1"/>
  <c r="AE527" i="2"/>
  <c r="AE526" i="2" s="1"/>
  <c r="AF527" i="2"/>
  <c r="AF526" i="2" s="1"/>
  <c r="AE516" i="2"/>
  <c r="AD527" i="2"/>
  <c r="AD526" i="2" s="1"/>
  <c r="AF516" i="2"/>
  <c r="AF509" i="2" l="1"/>
  <c r="AF502" i="2" s="1"/>
  <c r="AF501" i="2" s="1"/>
  <c r="AF500" i="2" s="1"/>
  <c r="AE509" i="2"/>
  <c r="AE502" i="2" s="1"/>
  <c r="AE501" i="2" s="1"/>
  <c r="AE500" i="2" s="1"/>
  <c r="AD501" i="2"/>
  <c r="AD500" i="2" s="1"/>
  <c r="F451" i="7" l="1"/>
  <c r="D278" i="9" s="1"/>
  <c r="H451" i="7"/>
  <c r="F712" i="9" l="1"/>
  <c r="F711" i="9" s="1"/>
  <c r="F710" i="9" s="1"/>
  <c r="E712" i="9"/>
  <c r="E711" i="9" s="1"/>
  <c r="E710" i="9" s="1"/>
  <c r="D712" i="9"/>
  <c r="D711" i="9" s="1"/>
  <c r="D710" i="9" s="1"/>
  <c r="F118" i="7" l="1"/>
  <c r="F117" i="7" s="1"/>
  <c r="J118" i="7"/>
  <c r="J117" i="7" s="1"/>
  <c r="H118" i="7"/>
  <c r="H117" i="7" s="1"/>
  <c r="D202" i="9"/>
  <c r="D201" i="9" s="1"/>
  <c r="H507" i="7"/>
  <c r="H506" i="7" s="1"/>
  <c r="E125" i="9"/>
  <c r="E124" i="9" s="1"/>
  <c r="E123" i="9" s="1"/>
  <c r="E122" i="9" s="1"/>
  <c r="F125" i="9"/>
  <c r="F124" i="9" s="1"/>
  <c r="F123" i="9" s="1"/>
  <c r="F122" i="9" s="1"/>
  <c r="F679" i="7"/>
  <c r="F678" i="7" s="1"/>
  <c r="F677" i="7" s="1"/>
  <c r="F676" i="7" s="1"/>
  <c r="D163" i="9"/>
  <c r="D169" i="9"/>
  <c r="D170" i="9"/>
  <c r="D171" i="9"/>
  <c r="D177" i="9"/>
  <c r="D176" i="9" s="1"/>
  <c r="D175" i="9" s="1"/>
  <c r="D180" i="9"/>
  <c r="D179" i="9" s="1"/>
  <c r="D178" i="9" s="1"/>
  <c r="D183" i="9"/>
  <c r="D182" i="9" s="1"/>
  <c r="D181" i="9" s="1"/>
  <c r="D186" i="9"/>
  <c r="D185" i="9" s="1"/>
  <c r="D184" i="9" s="1"/>
  <c r="D626" i="9"/>
  <c r="D625" i="9" s="1"/>
  <c r="D667" i="9"/>
  <c r="D666" i="9" s="1"/>
  <c r="D665" i="9" s="1"/>
  <c r="D672" i="9"/>
  <c r="D671" i="9" s="1"/>
  <c r="D670" i="9" s="1"/>
  <c r="D675" i="9"/>
  <c r="D674" i="9" s="1"/>
  <c r="D673" i="9" s="1"/>
  <c r="D611" i="9"/>
  <c r="D610" i="9" s="1"/>
  <c r="D606" i="9" s="1"/>
  <c r="D573" i="9"/>
  <c r="D572" i="9" s="1"/>
  <c r="D571" i="9" s="1"/>
  <c r="D570" i="9" s="1"/>
  <c r="F345" i="7"/>
  <c r="D559" i="9" s="1"/>
  <c r="D558" i="9" s="1"/>
  <c r="D557" i="9" s="1"/>
  <c r="D556" i="9" s="1"/>
  <c r="D555" i="9" s="1"/>
  <c r="F327" i="7"/>
  <c r="D544" i="9" s="1"/>
  <c r="D543" i="9" s="1"/>
  <c r="D542" i="9" s="1"/>
  <c r="D541" i="9" s="1"/>
  <c r="D548" i="9"/>
  <c r="D547" i="9" s="1"/>
  <c r="D546" i="9" s="1"/>
  <c r="D545" i="9" s="1"/>
  <c r="F87" i="7"/>
  <c r="D508" i="9" s="1"/>
  <c r="F464" i="7"/>
  <c r="D512" i="9" s="1"/>
  <c r="D517" i="9"/>
  <c r="D516" i="9" s="1"/>
  <c r="D515" i="9" s="1"/>
  <c r="F226" i="7"/>
  <c r="F201" i="7"/>
  <c r="F200" i="7" s="1"/>
  <c r="F199" i="7" s="1"/>
  <c r="F198" i="7" s="1"/>
  <c r="F197" i="7" s="1"/>
  <c r="F196" i="7" s="1"/>
  <c r="D399" i="9"/>
  <c r="D398" i="9" s="1"/>
  <c r="F138" i="7"/>
  <c r="F140" i="7"/>
  <c r="D403" i="9" s="1"/>
  <c r="D402" i="9" s="1"/>
  <c r="F384" i="7"/>
  <c r="D408" i="9" s="1"/>
  <c r="D407" i="9" s="1"/>
  <c r="D406" i="9" s="1"/>
  <c r="F145" i="7"/>
  <c r="D419" i="9"/>
  <c r="D418" i="9" s="1"/>
  <c r="D417" i="9" s="1"/>
  <c r="D422" i="9"/>
  <c r="D421" i="9" s="1"/>
  <c r="D420" i="9" s="1"/>
  <c r="F22" i="7"/>
  <c r="F69" i="7"/>
  <c r="D441" i="9" s="1"/>
  <c r="F74" i="7"/>
  <c r="D446" i="9" s="1"/>
  <c r="D445" i="9" s="1"/>
  <c r="D444" i="9" s="1"/>
  <c r="F77" i="7"/>
  <c r="D449" i="9" s="1"/>
  <c r="D448" i="9" s="1"/>
  <c r="D447" i="9" s="1"/>
  <c r="F233" i="7"/>
  <c r="D462" i="9" s="1"/>
  <c r="D461" i="9" s="1"/>
  <c r="D460" i="9" s="1"/>
  <c r="F164" i="7"/>
  <c r="D468" i="9" s="1"/>
  <c r="D467" i="9" s="1"/>
  <c r="D466" i="9" s="1"/>
  <c r="D482" i="9"/>
  <c r="D481" i="9" s="1"/>
  <c r="D476" i="9" s="1"/>
  <c r="D486" i="9"/>
  <c r="D485" i="9" s="1"/>
  <c r="F184" i="7"/>
  <c r="D488" i="9" s="1"/>
  <c r="D487" i="9" s="1"/>
  <c r="F321" i="7"/>
  <c r="D498" i="9" s="1"/>
  <c r="D497" i="9" s="1"/>
  <c r="D496" i="9" s="1"/>
  <c r="F187" i="7"/>
  <c r="D491" i="9" s="1"/>
  <c r="D490" i="9" s="1"/>
  <c r="F189" i="7"/>
  <c r="D493" i="9" s="1"/>
  <c r="D492" i="9" s="1"/>
  <c r="D456" i="9"/>
  <c r="D455" i="9" s="1"/>
  <c r="D454" i="9" s="1"/>
  <c r="D459" i="9"/>
  <c r="D458" i="9" s="1"/>
  <c r="D457" i="9" s="1"/>
  <c r="D430" i="9"/>
  <c r="D429" i="9" s="1"/>
  <c r="D428" i="9" s="1"/>
  <c r="D427" i="9" s="1"/>
  <c r="D426" i="9" s="1"/>
  <c r="D340" i="9"/>
  <c r="D339" i="9" s="1"/>
  <c r="D338" i="9" s="1"/>
  <c r="D334" i="9" s="1"/>
  <c r="F699" i="7"/>
  <c r="D267" i="9" s="1"/>
  <c r="F298" i="7"/>
  <c r="D271" i="9" s="1"/>
  <c r="F294" i="7"/>
  <c r="F373" i="7"/>
  <c r="D277" i="9"/>
  <c r="D276" i="9" s="1"/>
  <c r="F454" i="7"/>
  <c r="D281" i="9" s="1"/>
  <c r="D280" i="9" s="1"/>
  <c r="F456" i="7"/>
  <c r="D283" i="9" s="1"/>
  <c r="D282" i="9" s="1"/>
  <c r="F376" i="7"/>
  <c r="F256" i="7"/>
  <c r="D293" i="9" s="1"/>
  <c r="D292" i="9" s="1"/>
  <c r="D291" i="9" s="1"/>
  <c r="F241" i="7"/>
  <c r="D302" i="9" s="1"/>
  <c r="D301" i="9" s="1"/>
  <c r="D300" i="9" s="1"/>
  <c r="D299" i="9" s="1"/>
  <c r="F265" i="7"/>
  <c r="D315" i="9" s="1"/>
  <c r="D314" i="9" s="1"/>
  <c r="D313" i="9" s="1"/>
  <c r="D312" i="9" s="1"/>
  <c r="F249" i="7"/>
  <c r="D310" i="9" s="1"/>
  <c r="D309" i="9" s="1"/>
  <c r="D308" i="9" s="1"/>
  <c r="D307" i="9" s="1"/>
  <c r="F279" i="7"/>
  <c r="D251" i="9"/>
  <c r="D230" i="9"/>
  <c r="D229" i="9" s="1"/>
  <c r="F824" i="7"/>
  <c r="F823" i="7" s="1"/>
  <c r="D200" i="9"/>
  <c r="D199" i="9" s="1"/>
  <c r="AD374" i="2"/>
  <c r="D205" i="9"/>
  <c r="D204" i="9" s="1"/>
  <c r="D203" i="9" s="1"/>
  <c r="F873" i="7"/>
  <c r="D220" i="9" s="1"/>
  <c r="F53" i="7"/>
  <c r="F55" i="7"/>
  <c r="F54" i="7" s="1"/>
  <c r="F761" i="7"/>
  <c r="D24" i="9" s="1"/>
  <c r="D23" i="9" s="1"/>
  <c r="D22" i="9" s="1"/>
  <c r="D21" i="9" s="1"/>
  <c r="D20" i="9" s="1"/>
  <c r="F770" i="7"/>
  <c r="F773" i="7"/>
  <c r="D54" i="9"/>
  <c r="D53" i="9" s="1"/>
  <c r="D52" i="9" s="1"/>
  <c r="D57" i="9"/>
  <c r="D56" i="9" s="1"/>
  <c r="D55" i="9" s="1"/>
  <c r="F666" i="7"/>
  <c r="D70" i="9" s="1"/>
  <c r="D69" i="9" s="1"/>
  <c r="D68" i="9" s="1"/>
  <c r="D67" i="9" s="1"/>
  <c r="D66" i="9" s="1"/>
  <c r="D686" i="9"/>
  <c r="D685" i="9" s="1"/>
  <c r="D684" i="9" s="1"/>
  <c r="D693" i="9"/>
  <c r="D692" i="9" s="1"/>
  <c r="D691" i="9" s="1"/>
  <c r="D696" i="9"/>
  <c r="D695" i="9" s="1"/>
  <c r="D694" i="9" s="1"/>
  <c r="D699" i="9"/>
  <c r="D698" i="9" s="1"/>
  <c r="D697" i="9" s="1"/>
  <c r="D703" i="9"/>
  <c r="D702" i="9" s="1"/>
  <c r="D701" i="9" s="1"/>
  <c r="D709" i="9"/>
  <c r="D708" i="9" s="1"/>
  <c r="D707" i="9" s="1"/>
  <c r="F129" i="7"/>
  <c r="H822" i="7"/>
  <c r="H820" i="7" s="1"/>
  <c r="H819" i="7" s="1"/>
  <c r="H742" i="7"/>
  <c r="H741" i="7" s="1"/>
  <c r="H740" i="7"/>
  <c r="H873" i="7"/>
  <c r="H53" i="7"/>
  <c r="H55" i="7"/>
  <c r="J742" i="7"/>
  <c r="J741" i="7" s="1"/>
  <c r="J740" i="7"/>
  <c r="J873" i="7"/>
  <c r="J53" i="7"/>
  <c r="J55" i="7"/>
  <c r="H776" i="7"/>
  <c r="J552" i="7"/>
  <c r="J551" i="7" s="1"/>
  <c r="H544" i="7"/>
  <c r="H543" i="7" s="1"/>
  <c r="H552" i="7"/>
  <c r="H551" i="7" s="1"/>
  <c r="G484" i="7"/>
  <c r="G630" i="7"/>
  <c r="G629" i="7" s="1"/>
  <c r="G739" i="7"/>
  <c r="H384" i="7"/>
  <c r="H493" i="7"/>
  <c r="H492" i="7" s="1"/>
  <c r="H488" i="7" s="1"/>
  <c r="H464" i="7"/>
  <c r="H463" i="7" s="1"/>
  <c r="H462" i="7" s="1"/>
  <c r="H461" i="7" s="1"/>
  <c r="H460" i="7" s="1"/>
  <c r="H459" i="7" s="1"/>
  <c r="H454" i="7"/>
  <c r="H453" i="7" s="1"/>
  <c r="H456" i="7"/>
  <c r="H455" i="7" s="1"/>
  <c r="H333" i="7"/>
  <c r="H332" i="7" s="1"/>
  <c r="H331" i="7" s="1"/>
  <c r="H345" i="7"/>
  <c r="H344" i="7" s="1"/>
  <c r="H343" i="7" s="1"/>
  <c r="H342" i="7" s="1"/>
  <c r="H341" i="7" s="1"/>
  <c r="H321" i="7"/>
  <c r="H320" i="7" s="1"/>
  <c r="H319" i="7" s="1"/>
  <c r="H318" i="7" s="1"/>
  <c r="H317" i="7" s="1"/>
  <c r="H316" i="7" s="1"/>
  <c r="H315" i="7" s="1"/>
  <c r="H327" i="7"/>
  <c r="H326" i="7" s="1"/>
  <c r="H325" i="7" s="1"/>
  <c r="H373" i="7"/>
  <c r="H372" i="7" s="1"/>
  <c r="H371" i="7" s="1"/>
  <c r="H376" i="7"/>
  <c r="I376" i="7" s="1"/>
  <c r="I375" i="7" s="1"/>
  <c r="I374" i="7" s="1"/>
  <c r="I370" i="7" s="1"/>
  <c r="I369" i="7" s="1"/>
  <c r="I368" i="7" s="1"/>
  <c r="I367" i="7" s="1"/>
  <c r="H358" i="7"/>
  <c r="H366" i="7"/>
  <c r="E573" i="9" s="1"/>
  <c r="H362" i="7"/>
  <c r="H361" i="7" s="1"/>
  <c r="H360" i="7" s="1"/>
  <c r="H359" i="7" s="1"/>
  <c r="H312" i="7"/>
  <c r="H309" i="7" s="1"/>
  <c r="E169" i="9"/>
  <c r="E170" i="9"/>
  <c r="E171" i="9"/>
  <c r="H666" i="7"/>
  <c r="E70" i="9" s="1"/>
  <c r="E69" i="9" s="1"/>
  <c r="E68" i="9" s="1"/>
  <c r="E67" i="9" s="1"/>
  <c r="E66" i="9" s="1"/>
  <c r="H699" i="7"/>
  <c r="H705" i="7"/>
  <c r="H704" i="7" s="1"/>
  <c r="H703" i="7" s="1"/>
  <c r="H726" i="7"/>
  <c r="H725" i="7" s="1"/>
  <c r="H729" i="7"/>
  <c r="H728" i="7" s="1"/>
  <c r="H732" i="7"/>
  <c r="H731" i="7" s="1"/>
  <c r="H752" i="7"/>
  <c r="H751" i="7" s="1"/>
  <c r="H750" i="7" s="1"/>
  <c r="H770" i="7"/>
  <c r="H773" i="7"/>
  <c r="H772" i="7" s="1"/>
  <c r="H771" i="7" s="1"/>
  <c r="H761" i="7"/>
  <c r="H760" i="7" s="1"/>
  <c r="H759" i="7" s="1"/>
  <c r="H758" i="7" s="1"/>
  <c r="H757" i="7" s="1"/>
  <c r="H783" i="7"/>
  <c r="H780" i="7" s="1"/>
  <c r="H786" i="7"/>
  <c r="H785" i="7" s="1"/>
  <c r="H791" i="7"/>
  <c r="H790" i="7" s="1"/>
  <c r="H789" i="7" s="1"/>
  <c r="H794" i="7"/>
  <c r="H793" i="7" s="1"/>
  <c r="H792" i="7" s="1"/>
  <c r="H903" i="7"/>
  <c r="H881" i="7"/>
  <c r="E345" i="9"/>
  <c r="E344" i="9" s="1"/>
  <c r="E343" i="9" s="1"/>
  <c r="H241" i="7"/>
  <c r="H240" i="7" s="1"/>
  <c r="H239" i="7" s="1"/>
  <c r="H238" i="7" s="1"/>
  <c r="H249" i="7"/>
  <c r="E310" i="9" s="1"/>
  <c r="E309" i="9" s="1"/>
  <c r="E308" i="9" s="1"/>
  <c r="E307" i="9" s="1"/>
  <c r="H256" i="7"/>
  <c r="E293" i="9" s="1"/>
  <c r="E292" i="9" s="1"/>
  <c r="E291" i="9" s="1"/>
  <c r="E290" i="9" s="1"/>
  <c r="E289" i="9" s="1"/>
  <c r="H265" i="7"/>
  <c r="H279" i="7"/>
  <c r="H278" i="7" s="1"/>
  <c r="AE214" i="2"/>
  <c r="AE213" i="2" s="1"/>
  <c r="H294" i="7"/>
  <c r="E263" i="9" s="1"/>
  <c r="H298" i="7"/>
  <c r="E271" i="9" s="1"/>
  <c r="H226" i="7"/>
  <c r="I226" i="7" s="1"/>
  <c r="I225" i="7" s="1"/>
  <c r="I224" i="7" s="1"/>
  <c r="H233" i="7"/>
  <c r="H232" i="7" s="1"/>
  <c r="H231" i="7" s="1"/>
  <c r="H230" i="7" s="1"/>
  <c r="H229" i="7" s="1"/>
  <c r="H228" i="7" s="1"/>
  <c r="H227" i="7" s="1"/>
  <c r="E25" i="10" s="1"/>
  <c r="AE19" i="2"/>
  <c r="AE18" i="2" s="1"/>
  <c r="H32" i="7"/>
  <c r="H31" i="7" s="1"/>
  <c r="E689" i="9"/>
  <c r="E688" i="9" s="1"/>
  <c r="E687" i="9" s="1"/>
  <c r="H42" i="7"/>
  <c r="H41" i="7" s="1"/>
  <c r="H45" i="7"/>
  <c r="H44" i="7" s="1"/>
  <c r="H69" i="7"/>
  <c r="E441" i="9" s="1"/>
  <c r="H74" i="7"/>
  <c r="H73" i="7" s="1"/>
  <c r="H72" i="7" s="1"/>
  <c r="H77" i="7"/>
  <c r="H76" i="7" s="1"/>
  <c r="H75" i="7" s="1"/>
  <c r="H87" i="7"/>
  <c r="E508" i="9" s="1"/>
  <c r="H94" i="7"/>
  <c r="H93" i="7" s="1"/>
  <c r="E456" i="9"/>
  <c r="E455" i="9" s="1"/>
  <c r="E454" i="9" s="1"/>
  <c r="H100" i="7"/>
  <c r="H99" i="7" s="1"/>
  <c r="H112" i="7"/>
  <c r="H111" i="7" s="1"/>
  <c r="H115" i="7"/>
  <c r="H114" i="7" s="1"/>
  <c r="H128" i="7"/>
  <c r="H127" i="7" s="1"/>
  <c r="H126" i="7" s="1"/>
  <c r="H140" i="7"/>
  <c r="H139" i="7" s="1"/>
  <c r="H138" i="7"/>
  <c r="H152" i="7"/>
  <c r="H151" i="7" s="1"/>
  <c r="H155" i="7"/>
  <c r="H154" i="7" s="1"/>
  <c r="H158" i="7"/>
  <c r="H157" i="7" s="1"/>
  <c r="H164" i="7"/>
  <c r="E468" i="9" s="1"/>
  <c r="E467" i="9" s="1"/>
  <c r="E466" i="9" s="1"/>
  <c r="H177" i="7"/>
  <c r="H172" i="7" s="1"/>
  <c r="H182" i="7"/>
  <c r="H181" i="7" s="1"/>
  <c r="H184" i="7"/>
  <c r="H183" i="7" s="1"/>
  <c r="H187" i="7"/>
  <c r="H186" i="7" s="1"/>
  <c r="H189" i="7"/>
  <c r="H188" i="7" s="1"/>
  <c r="H201" i="7"/>
  <c r="I775" i="7"/>
  <c r="I774" i="7" s="1"/>
  <c r="I767" i="7" s="1"/>
  <c r="I766" i="7" s="1"/>
  <c r="I756" i="7" s="1"/>
  <c r="I630" i="7"/>
  <c r="I629" i="7" s="1"/>
  <c r="I739" i="7"/>
  <c r="J384" i="7"/>
  <c r="J383" i="7" s="1"/>
  <c r="J382" i="7" s="1"/>
  <c r="J381" i="7" s="1"/>
  <c r="J380" i="7" s="1"/>
  <c r="J379" i="7" s="1"/>
  <c r="J378" i="7" s="1"/>
  <c r="J504" i="7"/>
  <c r="J503" i="7" s="1"/>
  <c r="J464" i="7"/>
  <c r="J463" i="7" s="1"/>
  <c r="J462" i="7" s="1"/>
  <c r="J461" i="7" s="1"/>
  <c r="J460" i="7" s="1"/>
  <c r="J459" i="7" s="1"/>
  <c r="J451" i="7"/>
  <c r="J454" i="7"/>
  <c r="J453" i="7" s="1"/>
  <c r="J456" i="7"/>
  <c r="F283" i="9" s="1"/>
  <c r="F282" i="9" s="1"/>
  <c r="J726" i="7"/>
  <c r="J725" i="7" s="1"/>
  <c r="J732" i="7"/>
  <c r="J731" i="7" s="1"/>
  <c r="F165" i="9"/>
  <c r="F169" i="9"/>
  <c r="F170" i="9"/>
  <c r="F171" i="9"/>
  <c r="J666" i="7"/>
  <c r="F70" i="9" s="1"/>
  <c r="F69" i="9" s="1"/>
  <c r="F68" i="9" s="1"/>
  <c r="F67" i="9" s="1"/>
  <c r="F66" i="9" s="1"/>
  <c r="J699" i="7"/>
  <c r="F267" i="9" s="1"/>
  <c r="J705" i="7"/>
  <c r="J704" i="7" s="1"/>
  <c r="J703" i="7" s="1"/>
  <c r="J903" i="7"/>
  <c r="J881" i="7"/>
  <c r="K847" i="7"/>
  <c r="J844" i="7"/>
  <c r="J761" i="7"/>
  <c r="J760" i="7" s="1"/>
  <c r="J759" i="7" s="1"/>
  <c r="J758" i="7" s="1"/>
  <c r="J757" i="7" s="1"/>
  <c r="J770" i="7"/>
  <c r="J769" i="7" s="1"/>
  <c r="J768" i="7" s="1"/>
  <c r="J773" i="7"/>
  <c r="J776" i="7"/>
  <c r="J775" i="7" s="1"/>
  <c r="J774" i="7" s="1"/>
  <c r="J783" i="7"/>
  <c r="J780" i="7" s="1"/>
  <c r="J786" i="7"/>
  <c r="J785" i="7" s="1"/>
  <c r="J791" i="7"/>
  <c r="J790" i="7" s="1"/>
  <c r="J789" i="7" s="1"/>
  <c r="J794" i="7"/>
  <c r="J793" i="7" s="1"/>
  <c r="J792" i="7" s="1"/>
  <c r="J321" i="7"/>
  <c r="J320" i="7" s="1"/>
  <c r="J319" i="7" s="1"/>
  <c r="J318" i="7" s="1"/>
  <c r="J317" i="7" s="1"/>
  <c r="J316" i="7" s="1"/>
  <c r="J315" i="7" s="1"/>
  <c r="J328" i="7"/>
  <c r="J327" i="7" s="1"/>
  <c r="J373" i="7"/>
  <c r="J376" i="7"/>
  <c r="K376" i="7" s="1"/>
  <c r="K375" i="7" s="1"/>
  <c r="K374" i="7" s="1"/>
  <c r="K370" i="7" s="1"/>
  <c r="K369" i="7" s="1"/>
  <c r="K368" i="7" s="1"/>
  <c r="K367" i="7" s="1"/>
  <c r="J333" i="7"/>
  <c r="J332" i="7" s="1"/>
  <c r="J331" i="7" s="1"/>
  <c r="J345" i="7"/>
  <c r="J344" i="7" s="1"/>
  <c r="J343" i="7" s="1"/>
  <c r="J342" i="7" s="1"/>
  <c r="J341" i="7" s="1"/>
  <c r="J358" i="7"/>
  <c r="J366" i="7"/>
  <c r="J362" i="7"/>
  <c r="J312" i="7"/>
  <c r="J309" i="7" s="1"/>
  <c r="J241" i="7"/>
  <c r="J240" i="7" s="1"/>
  <c r="J239" i="7" s="1"/>
  <c r="J238" i="7" s="1"/>
  <c r="J249" i="7"/>
  <c r="F310" i="9" s="1"/>
  <c r="F309" i="9" s="1"/>
  <c r="F308" i="9" s="1"/>
  <c r="F307" i="9" s="1"/>
  <c r="J256" i="7"/>
  <c r="J265" i="7"/>
  <c r="J264" i="7" s="1"/>
  <c r="J263" i="7" s="1"/>
  <c r="J279" i="7"/>
  <c r="J294" i="7"/>
  <c r="F263" i="9" s="1"/>
  <c r="J298" i="7"/>
  <c r="F271" i="9" s="1"/>
  <c r="J226" i="7"/>
  <c r="F533" i="9" s="1"/>
  <c r="F532" i="9" s="1"/>
  <c r="F531" i="9" s="1"/>
  <c r="J233" i="7"/>
  <c r="J232" i="7" s="1"/>
  <c r="J231" i="7" s="1"/>
  <c r="J230" i="7" s="1"/>
  <c r="J229" i="7" s="1"/>
  <c r="J228" i="7" s="1"/>
  <c r="J227" i="7" s="1"/>
  <c r="F25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9" i="7"/>
  <c r="F441" i="9" s="1"/>
  <c r="J74" i="7"/>
  <c r="J77" i="7"/>
  <c r="J76" i="7" s="1"/>
  <c r="J75" i="7" s="1"/>
  <c r="J87" i="7"/>
  <c r="J94" i="7"/>
  <c r="J93" i="7" s="1"/>
  <c r="F456" i="9"/>
  <c r="F455" i="9" s="1"/>
  <c r="F454" i="9" s="1"/>
  <c r="J100" i="7"/>
  <c r="J99" i="7" s="1"/>
  <c r="J109" i="7"/>
  <c r="J108" i="7" s="1"/>
  <c r="J115" i="7"/>
  <c r="J114" i="7" s="1"/>
  <c r="J129" i="7"/>
  <c r="J140" i="7"/>
  <c r="F403" i="9" s="1"/>
  <c r="F402" i="9" s="1"/>
  <c r="J138" i="7"/>
  <c r="F414" i="9"/>
  <c r="F413" i="9" s="1"/>
  <c r="J152" i="7"/>
  <c r="J151" i="7" s="1"/>
  <c r="J155" i="7"/>
  <c r="J154" i="7" s="1"/>
  <c r="J164" i="7"/>
  <c r="J163" i="7" s="1"/>
  <c r="J162" i="7" s="1"/>
  <c r="J183" i="7"/>
  <c r="J187" i="7"/>
  <c r="J186" i="7" s="1"/>
  <c r="J189" i="7"/>
  <c r="J188" i="7" s="1"/>
  <c r="AF127" i="2"/>
  <c r="AF126" i="2" s="1"/>
  <c r="AF125" i="2" s="1"/>
  <c r="K739" i="7"/>
  <c r="J201" i="7"/>
  <c r="K201" i="7" s="1"/>
  <c r="K200" i="7" s="1"/>
  <c r="K199" i="7" s="1"/>
  <c r="K198" i="7" s="1"/>
  <c r="G775" i="7"/>
  <c r="G774" i="7" s="1"/>
  <c r="G767" i="7" s="1"/>
  <c r="G766" i="7" s="1"/>
  <c r="AE395" i="2"/>
  <c r="AE394" i="2" s="1"/>
  <c r="AE398" i="2"/>
  <c r="AE397" i="2" s="1"/>
  <c r="AF395" i="2"/>
  <c r="AF394" i="2" s="1"/>
  <c r="AF398" i="2"/>
  <c r="AF397" i="2" s="1"/>
  <c r="AD395" i="2"/>
  <c r="AD394" i="2" s="1"/>
  <c r="AD398" i="2"/>
  <c r="AD397" i="2" s="1"/>
  <c r="G857" i="7"/>
  <c r="G856" i="7" s="1"/>
  <c r="G852" i="7" s="1"/>
  <c r="I857" i="7"/>
  <c r="I856" i="7" s="1"/>
  <c r="I852" i="7" s="1"/>
  <c r="K857" i="7"/>
  <c r="K856" i="7" s="1"/>
  <c r="K852" i="7" s="1"/>
  <c r="AF257" i="2"/>
  <c r="AF256" i="2" s="1"/>
  <c r="AF255" i="2" s="1"/>
  <c r="AF115" i="2"/>
  <c r="AF112" i="2" s="1"/>
  <c r="AF106" i="2" s="1"/>
  <c r="AE115" i="2"/>
  <c r="AE113" i="2"/>
  <c r="AD113" i="2"/>
  <c r="AD112" i="2" s="1"/>
  <c r="AD106" i="2" s="1"/>
  <c r="F685" i="7"/>
  <c r="E163" i="9"/>
  <c r="AE338" i="2"/>
  <c r="AE337" i="2" s="1"/>
  <c r="AE336" i="2" s="1"/>
  <c r="AF338" i="2"/>
  <c r="AF337" i="2" s="1"/>
  <c r="AF336" i="2" s="1"/>
  <c r="AD338" i="2"/>
  <c r="AD337" i="2" s="1"/>
  <c r="AD336" i="2" s="1"/>
  <c r="AD335" i="2" s="1"/>
  <c r="AF261" i="2"/>
  <c r="AF260" i="2" s="1"/>
  <c r="AF259" i="2" s="1"/>
  <c r="AD253" i="2"/>
  <c r="AD252" i="2" s="1"/>
  <c r="AD251" i="2" s="1"/>
  <c r="AF253" i="2"/>
  <c r="AF252" i="2" s="1"/>
  <c r="AF251" i="2" s="1"/>
  <c r="AE376" i="2"/>
  <c r="J184" i="7"/>
  <c r="F488" i="9" s="1"/>
  <c r="F487" i="9" s="1"/>
  <c r="J182" i="7"/>
  <c r="F486" i="9" s="1"/>
  <c r="F485" i="9" s="1"/>
  <c r="I746" i="7"/>
  <c r="I745" i="7" s="1"/>
  <c r="H328" i="7"/>
  <c r="H22" i="7"/>
  <c r="H21" i="7" s="1"/>
  <c r="F794" i="7"/>
  <c r="F793" i="7" s="1"/>
  <c r="F792" i="7" s="1"/>
  <c r="F791" i="7"/>
  <c r="F790" i="7" s="1"/>
  <c r="F789" i="7" s="1"/>
  <c r="F328" i="7"/>
  <c r="F57" i="9"/>
  <c r="F56" i="9" s="1"/>
  <c r="F55" i="9" s="1"/>
  <c r="F54" i="9"/>
  <c r="F53" i="9" s="1"/>
  <c r="F52" i="9" s="1"/>
  <c r="AF498" i="2"/>
  <c r="AF497" i="2" s="1"/>
  <c r="AF496" i="2" s="1"/>
  <c r="AF495" i="2" s="1"/>
  <c r="AF472" i="2"/>
  <c r="AF471" i="2" s="1"/>
  <c r="AF450" i="2"/>
  <c r="AF449" i="2" s="1"/>
  <c r="AF448" i="2" s="1"/>
  <c r="AF419" i="2"/>
  <c r="AF418" i="2" s="1"/>
  <c r="AF416" i="2"/>
  <c r="AF415" i="2" s="1"/>
  <c r="AF386" i="2"/>
  <c r="AF385" i="2" s="1"/>
  <c r="AF384" i="2" s="1"/>
  <c r="AF383" i="2" s="1"/>
  <c r="AF359" i="2"/>
  <c r="AF358" i="2" s="1"/>
  <c r="AF353" i="2"/>
  <c r="AF352" i="2" s="1"/>
  <c r="AF351" i="2" s="1"/>
  <c r="AF350" i="2" s="1"/>
  <c r="AF322" i="2"/>
  <c r="AF321" i="2" s="1"/>
  <c r="AF305" i="2"/>
  <c r="AF304" i="2" s="1"/>
  <c r="AF303" i="2" s="1"/>
  <c r="AF302" i="2" s="1"/>
  <c r="AF301" i="2" s="1"/>
  <c r="AF297" i="2"/>
  <c r="AF295" i="2"/>
  <c r="AF292" i="2"/>
  <c r="AF291" i="2" s="1"/>
  <c r="AF279" i="2"/>
  <c r="AF278" i="2" s="1"/>
  <c r="AF277" i="2" s="1"/>
  <c r="AF276" i="2" s="1"/>
  <c r="AF275" i="2" s="1"/>
  <c r="AF271" i="2"/>
  <c r="AF270" i="2" s="1"/>
  <c r="AF268" i="2"/>
  <c r="AF267" i="2" s="1"/>
  <c r="AF246" i="2"/>
  <c r="AF245" i="2" s="1"/>
  <c r="AF244" i="2" s="1"/>
  <c r="AF243" i="2" s="1"/>
  <c r="AF242" i="2" s="1"/>
  <c r="AF239" i="2"/>
  <c r="AF232" i="2"/>
  <c r="AF231" i="2" s="1"/>
  <c r="AF230" i="2" s="1"/>
  <c r="AF229" i="2" s="1"/>
  <c r="AF228" i="2" s="1"/>
  <c r="AF227" i="2" s="1"/>
  <c r="AF218" i="2"/>
  <c r="AF217" i="2" s="1"/>
  <c r="AF216" i="2" s="1"/>
  <c r="AF214" i="2"/>
  <c r="AF213" i="2" s="1"/>
  <c r="AF199" i="2"/>
  <c r="AF169" i="2"/>
  <c r="AF168" i="2" s="1"/>
  <c r="AF167" i="2" s="1"/>
  <c r="AF161" i="2"/>
  <c r="AF160" i="2" s="1"/>
  <c r="AF159" i="2" s="1"/>
  <c r="AF176" i="2"/>
  <c r="AF175" i="2" s="1"/>
  <c r="AF174" i="2" s="1"/>
  <c r="AF173" i="2" s="1"/>
  <c r="AF153" i="2"/>
  <c r="AF152" i="2" s="1"/>
  <c r="AF151" i="2" s="1"/>
  <c r="AF150" i="2" s="1"/>
  <c r="AF149" i="2" s="1"/>
  <c r="AF148" i="2" s="1"/>
  <c r="AF146" i="2"/>
  <c r="AF145" i="2" s="1"/>
  <c r="AF97" i="2"/>
  <c r="AF95" i="2"/>
  <c r="AF92" i="2"/>
  <c r="AF91" i="2"/>
  <c r="AF81" i="2"/>
  <c r="AF76" i="2" s="1"/>
  <c r="AF70" i="2"/>
  <c r="AF69" i="2" s="1"/>
  <c r="AF68" i="2" s="1"/>
  <c r="AF60" i="2"/>
  <c r="AF59" i="2" s="1"/>
  <c r="AF58" i="2" s="1"/>
  <c r="AF57" i="2" s="1"/>
  <c r="AF56" i="2" s="1"/>
  <c r="AF50" i="2"/>
  <c r="AF49" i="2" s="1"/>
  <c r="AF47" i="2"/>
  <c r="AF46" i="2" s="1"/>
  <c r="AF28" i="2"/>
  <c r="AF26" i="2"/>
  <c r="AF19" i="2"/>
  <c r="AF18" i="2" s="1"/>
  <c r="AF17" i="2" s="1"/>
  <c r="AF16" i="2" s="1"/>
  <c r="AF15" i="2" s="1"/>
  <c r="AF14" i="2" s="1"/>
  <c r="E57" i="9"/>
  <c r="E56" i="9" s="1"/>
  <c r="E55" i="9" s="1"/>
  <c r="E54" i="9"/>
  <c r="E53" i="9" s="1"/>
  <c r="E52" i="9" s="1"/>
  <c r="E791" i="7"/>
  <c r="E793" i="7"/>
  <c r="E794" i="7"/>
  <c r="E790" i="7"/>
  <c r="B790" i="7"/>
  <c r="C790" i="7"/>
  <c r="B791" i="7"/>
  <c r="C791" i="7"/>
  <c r="B792" i="7"/>
  <c r="C792" i="7"/>
  <c r="B793" i="7"/>
  <c r="C793" i="7"/>
  <c r="B794" i="7"/>
  <c r="C794" i="7"/>
  <c r="C789" i="7"/>
  <c r="B789" i="7"/>
  <c r="A53" i="9"/>
  <c r="A54" i="9"/>
  <c r="A55" i="9"/>
  <c r="A56" i="9"/>
  <c r="A57" i="9"/>
  <c r="A52" i="9"/>
  <c r="AD416" i="2"/>
  <c r="AD415" i="2" s="1"/>
  <c r="AE416" i="2"/>
  <c r="AE415" i="2" s="1"/>
  <c r="AD419" i="2"/>
  <c r="AD418" i="2" s="1"/>
  <c r="AE419" i="2"/>
  <c r="AE418" i="2" s="1"/>
  <c r="AE271" i="2"/>
  <c r="AE270" i="2" s="1"/>
  <c r="AD271" i="2"/>
  <c r="AD270" i="2" s="1"/>
  <c r="AE81" i="2"/>
  <c r="AE76" i="2" s="1"/>
  <c r="AD81" i="2"/>
  <c r="AD76" i="2" s="1"/>
  <c r="G746" i="7"/>
  <c r="G745" i="7" s="1"/>
  <c r="AE498" i="2"/>
  <c r="AE497" i="2" s="1"/>
  <c r="AE472" i="2"/>
  <c r="AE471" i="2" s="1"/>
  <c r="AE467" i="2" s="1"/>
  <c r="AE386" i="2"/>
  <c r="AE385" i="2" s="1"/>
  <c r="AE384" i="2" s="1"/>
  <c r="AE383" i="2" s="1"/>
  <c r="AE359" i="2"/>
  <c r="AE358" i="2" s="1"/>
  <c r="AE353" i="2"/>
  <c r="AE352" i="2" s="1"/>
  <c r="AE351" i="2" s="1"/>
  <c r="AE350" i="2" s="1"/>
  <c r="AE322" i="2"/>
  <c r="AE321" i="2" s="1"/>
  <c r="AE301" i="2"/>
  <c r="AE297" i="2"/>
  <c r="AE295" i="2"/>
  <c r="AE279" i="2"/>
  <c r="AE278" i="2" s="1"/>
  <c r="AE277" i="2" s="1"/>
  <c r="AE276" i="2" s="1"/>
  <c r="AE275" i="2" s="1"/>
  <c r="AE268" i="2"/>
  <c r="AE267" i="2" s="1"/>
  <c r="AE239" i="2"/>
  <c r="AE238" i="2" s="1"/>
  <c r="AE237" i="2" s="1"/>
  <c r="AE232" i="2"/>
  <c r="AE231" i="2" s="1"/>
  <c r="AE230" i="2" s="1"/>
  <c r="AE229" i="2" s="1"/>
  <c r="AE228" i="2" s="1"/>
  <c r="AE227" i="2" s="1"/>
  <c r="AE218" i="2"/>
  <c r="AE217" i="2" s="1"/>
  <c r="AE216" i="2" s="1"/>
  <c r="AE199" i="2"/>
  <c r="AE169" i="2"/>
  <c r="AE168" i="2" s="1"/>
  <c r="AE167" i="2" s="1"/>
  <c r="AE161" i="2"/>
  <c r="AE160" i="2" s="1"/>
  <c r="AE159" i="2" s="1"/>
  <c r="AE153" i="2"/>
  <c r="AE152" i="2" s="1"/>
  <c r="AE151" i="2" s="1"/>
  <c r="AE150" i="2" s="1"/>
  <c r="AE149" i="2" s="1"/>
  <c r="AE148" i="2" s="1"/>
  <c r="AE146" i="2"/>
  <c r="AE145" i="2" s="1"/>
  <c r="AE127" i="2"/>
  <c r="AE126" i="2" s="1"/>
  <c r="AE125" i="2" s="1"/>
  <c r="AE124" i="2" s="1"/>
  <c r="AE123" i="2" s="1"/>
  <c r="AE97" i="2"/>
  <c r="AE95" i="2"/>
  <c r="AE92" i="2"/>
  <c r="AE91" i="2"/>
  <c r="AE70" i="2"/>
  <c r="AE69" i="2" s="1"/>
  <c r="AE68" i="2" s="1"/>
  <c r="AE50" i="2"/>
  <c r="AE49" i="2" s="1"/>
  <c r="AE47" i="2"/>
  <c r="AE46" i="2" s="1"/>
  <c r="AE28" i="2"/>
  <c r="AE26" i="2"/>
  <c r="AD498" i="2"/>
  <c r="AD497" i="2" s="1"/>
  <c r="AD496" i="2" s="1"/>
  <c r="AD495" i="2" s="1"/>
  <c r="AD472" i="2"/>
  <c r="AD471" i="2" s="1"/>
  <c r="AD467" i="2" s="1"/>
  <c r="AD450" i="2"/>
  <c r="AD449" i="2" s="1"/>
  <c r="AD448" i="2" s="1"/>
  <c r="AD386" i="2"/>
  <c r="AD385" i="2" s="1"/>
  <c r="AD384" i="2" s="1"/>
  <c r="AD383" i="2" s="1"/>
  <c r="AD376" i="2"/>
  <c r="AD373" i="2" s="1"/>
  <c r="AD359" i="2"/>
  <c r="AD358" i="2" s="1"/>
  <c r="AD353" i="2"/>
  <c r="AD352" i="2" s="1"/>
  <c r="AD351" i="2" s="1"/>
  <c r="AD350" i="2" s="1"/>
  <c r="AD322" i="2"/>
  <c r="AD321" i="2" s="1"/>
  <c r="AD320" i="2" s="1"/>
  <c r="AD305" i="2"/>
  <c r="AD304" i="2" s="1"/>
  <c r="AD303" i="2" s="1"/>
  <c r="AD302" i="2" s="1"/>
  <c r="AD301" i="2" s="1"/>
  <c r="AD297" i="2"/>
  <c r="AD295" i="2"/>
  <c r="AD292" i="2"/>
  <c r="AD291" i="2" s="1"/>
  <c r="AD279" i="2"/>
  <c r="AD278" i="2" s="1"/>
  <c r="AD277" i="2" s="1"/>
  <c r="AD276" i="2" s="1"/>
  <c r="AD275" i="2" s="1"/>
  <c r="AD268" i="2"/>
  <c r="AD267" i="2" s="1"/>
  <c r="AD239" i="2"/>
  <c r="AD238" i="2" s="1"/>
  <c r="AD237" i="2" s="1"/>
  <c r="AD232" i="2"/>
  <c r="AD231" i="2" s="1"/>
  <c r="AD230" i="2" s="1"/>
  <c r="AD229" i="2" s="1"/>
  <c r="AD228" i="2" s="1"/>
  <c r="AD227" i="2" s="1"/>
  <c r="AD218" i="2"/>
  <c r="AD217" i="2" s="1"/>
  <c r="AD216" i="2" s="1"/>
  <c r="AD214" i="2"/>
  <c r="AD213" i="2" s="1"/>
  <c r="AD199" i="2"/>
  <c r="AD169" i="2"/>
  <c r="AD168" i="2" s="1"/>
  <c r="AD167" i="2" s="1"/>
  <c r="AD161" i="2"/>
  <c r="AD160" i="2" s="1"/>
  <c r="AD159" i="2" s="1"/>
  <c r="AD176" i="2"/>
  <c r="AD175" i="2" s="1"/>
  <c r="AD174" i="2" s="1"/>
  <c r="AD173" i="2" s="1"/>
  <c r="AD153" i="2"/>
  <c r="AD152" i="2" s="1"/>
  <c r="AD151" i="2" s="1"/>
  <c r="AD150" i="2" s="1"/>
  <c r="AD149" i="2" s="1"/>
  <c r="AD148" i="2" s="1"/>
  <c r="AD146" i="2"/>
  <c r="AD145" i="2" s="1"/>
  <c r="AD127" i="2"/>
  <c r="AD126" i="2" s="1"/>
  <c r="AD125" i="2" s="1"/>
  <c r="AD124" i="2" s="1"/>
  <c r="AD123" i="2" s="1"/>
  <c r="AD97" i="2"/>
  <c r="AD95" i="2"/>
  <c r="AD92" i="2"/>
  <c r="AD91" i="2"/>
  <c r="AD70" i="2"/>
  <c r="AD69" i="2" s="1"/>
  <c r="AD68" i="2" s="1"/>
  <c r="AD60" i="2"/>
  <c r="AD59" i="2" s="1"/>
  <c r="AD58" i="2" s="1"/>
  <c r="AD57" i="2" s="1"/>
  <c r="AD56" i="2" s="1"/>
  <c r="AD50" i="2"/>
  <c r="AD49" i="2" s="1"/>
  <c r="AD47" i="2"/>
  <c r="AD46" i="2" s="1"/>
  <c r="AD42" i="2"/>
  <c r="AD39" i="2" s="1"/>
  <c r="AD28" i="2"/>
  <c r="AD26" i="2"/>
  <c r="AD19" i="2"/>
  <c r="AD18" i="2" s="1"/>
  <c r="AD246" i="2"/>
  <c r="AD245" i="2" s="1"/>
  <c r="AD244" i="2" s="1"/>
  <c r="AD243" i="2" s="1"/>
  <c r="AD242" i="2" s="1"/>
  <c r="AE60" i="2"/>
  <c r="AE59" i="2" s="1"/>
  <c r="AE58" i="2" s="1"/>
  <c r="AE57" i="2" s="1"/>
  <c r="AE56" i="2" s="1"/>
  <c r="AE176" i="2"/>
  <c r="AE175" i="2" s="1"/>
  <c r="AE174" i="2" s="1"/>
  <c r="AE173" i="2" s="1"/>
  <c r="AE246" i="2"/>
  <c r="AE245" i="2" s="1"/>
  <c r="AE244" i="2" s="1"/>
  <c r="AE243" i="2" s="1"/>
  <c r="AE242" i="2" s="1"/>
  <c r="AE450" i="2"/>
  <c r="AE449" i="2" s="1"/>
  <c r="AE448" i="2" s="1"/>
  <c r="AE292" i="2"/>
  <c r="AE291" i="2" s="1"/>
  <c r="D158" i="7"/>
  <c r="D157" i="7" s="1"/>
  <c r="D155" i="7"/>
  <c r="D154" i="7" s="1"/>
  <c r="B458" i="9"/>
  <c r="B457" i="9" s="1"/>
  <c r="B455" i="9"/>
  <c r="B454" i="9" s="1"/>
  <c r="B424" i="9"/>
  <c r="B423" i="9" s="1"/>
  <c r="B421" i="9"/>
  <c r="B420" i="9" s="1"/>
  <c r="D100" i="7"/>
  <c r="D99" i="7" s="1"/>
  <c r="D97" i="7"/>
  <c r="D96" i="7" s="1"/>
  <c r="AD294" i="2" l="1"/>
  <c r="AF294" i="2"/>
  <c r="D279" i="9"/>
  <c r="AE294" i="2"/>
  <c r="G483" i="7"/>
  <c r="G473" i="7" s="1"/>
  <c r="AF238" i="2"/>
  <c r="AF237" i="2" s="1"/>
  <c r="AF236" i="2" s="1"/>
  <c r="AF235" i="2" s="1"/>
  <c r="AF234" i="2" s="1"/>
  <c r="AF226" i="2" s="1"/>
  <c r="D489" i="9"/>
  <c r="J185" i="7"/>
  <c r="H185" i="7"/>
  <c r="AF94" i="2"/>
  <c r="AE94" i="2"/>
  <c r="AD94" i="2"/>
  <c r="J779" i="7"/>
  <c r="J778" i="7" s="1"/>
  <c r="H779" i="7"/>
  <c r="H778" i="7" s="1"/>
  <c r="H702" i="7"/>
  <c r="H701" i="7" s="1"/>
  <c r="H700" i="7" s="1"/>
  <c r="J702" i="7"/>
  <c r="J701" i="7" s="1"/>
  <c r="J700" i="7" s="1"/>
  <c r="AD334" i="2"/>
  <c r="AD333" i="2" s="1"/>
  <c r="AF335" i="2"/>
  <c r="AF334" i="2" s="1"/>
  <c r="AF333" i="2" s="1"/>
  <c r="AE335" i="2"/>
  <c r="AE334" i="2" s="1"/>
  <c r="AE333" i="2" s="1"/>
  <c r="D228" i="9"/>
  <c r="D227" i="9" s="1"/>
  <c r="D226" i="9" s="1"/>
  <c r="E162" i="9"/>
  <c r="E161" i="9" s="1"/>
  <c r="D162" i="9"/>
  <c r="D161" i="9" s="1"/>
  <c r="H775" i="7"/>
  <c r="H774" i="7" s="1"/>
  <c r="J330" i="7"/>
  <c r="E342" i="9"/>
  <c r="E341" i="9" s="1"/>
  <c r="AD290" i="2"/>
  <c r="AD289" i="2" s="1"/>
  <c r="AD288" i="2" s="1"/>
  <c r="D298" i="9"/>
  <c r="G756" i="7"/>
  <c r="G755" i="7" s="1"/>
  <c r="G754" i="7" s="1"/>
  <c r="F220" i="9"/>
  <c r="F219" i="9" s="1"/>
  <c r="F218" i="9" s="1"/>
  <c r="F214" i="9" s="1"/>
  <c r="F213" i="9" s="1"/>
  <c r="E220" i="9"/>
  <c r="E219" i="9" s="1"/>
  <c r="E218" i="9" s="1"/>
  <c r="E214" i="9" s="1"/>
  <c r="E213" i="9" s="1"/>
  <c r="H277" i="7"/>
  <c r="H276" i="7" s="1"/>
  <c r="H275" i="7" s="1"/>
  <c r="AE198" i="2"/>
  <c r="AE197" i="2" s="1"/>
  <c r="AE196" i="2" s="1"/>
  <c r="AF198" i="2"/>
  <c r="AF197" i="2" s="1"/>
  <c r="AF196" i="2" s="1"/>
  <c r="AD198" i="2"/>
  <c r="AD197" i="2" s="1"/>
  <c r="AD196" i="2" s="1"/>
  <c r="F484" i="9"/>
  <c r="H452" i="7"/>
  <c r="AE112" i="2"/>
  <c r="AE106" i="2" s="1"/>
  <c r="H180" i="7"/>
  <c r="D484" i="9"/>
  <c r="E231" i="9"/>
  <c r="E230" i="9" s="1"/>
  <c r="E229" i="9" s="1"/>
  <c r="J880" i="7"/>
  <c r="J879" i="7" s="1"/>
  <c r="F231" i="9"/>
  <c r="F230" i="9" s="1"/>
  <c r="F229" i="9" s="1"/>
  <c r="F430" i="9"/>
  <c r="F429" i="9" s="1"/>
  <c r="F428" i="9" s="1"/>
  <c r="F427" i="9" s="1"/>
  <c r="F426" i="9" s="1"/>
  <c r="J902" i="7"/>
  <c r="E430" i="9"/>
  <c r="E429" i="9" s="1"/>
  <c r="E428" i="9" s="1"/>
  <c r="E427" i="9" s="1"/>
  <c r="E426" i="9" s="1"/>
  <c r="H902" i="7"/>
  <c r="AF469" i="2"/>
  <c r="AF468" i="2" s="1"/>
  <c r="AF467" i="2" s="1"/>
  <c r="AF466" i="2" s="1"/>
  <c r="AF465" i="2" s="1"/>
  <c r="AF464" i="2" s="1"/>
  <c r="J308" i="7"/>
  <c r="J307" i="7" s="1"/>
  <c r="J306" i="7" s="1"/>
  <c r="J305" i="7" s="1"/>
  <c r="F31" i="10" s="1"/>
  <c r="H308" i="7"/>
  <c r="H307" i="7" s="1"/>
  <c r="H306" i="7" s="1"/>
  <c r="H305" i="7" s="1"/>
  <c r="E31" i="10" s="1"/>
  <c r="AD372" i="2"/>
  <c r="AD371" i="2" s="1"/>
  <c r="AD370" i="2" s="1"/>
  <c r="AD369" i="2" s="1"/>
  <c r="AE67" i="2"/>
  <c r="AF67" i="2"/>
  <c r="D719" i="9"/>
  <c r="D718" i="9" s="1"/>
  <c r="D717" i="9" s="1"/>
  <c r="D713" i="9" s="1"/>
  <c r="AD144" i="2"/>
  <c r="AD143" i="2" s="1"/>
  <c r="AD142" i="2" s="1"/>
  <c r="AD141" i="2" s="1"/>
  <c r="AD140" i="2" s="1"/>
  <c r="I223" i="7"/>
  <c r="I222" i="7" s="1"/>
  <c r="I221" i="7" s="1"/>
  <c r="I220" i="7" s="1"/>
  <c r="I219" i="7" s="1"/>
  <c r="F530" i="9"/>
  <c r="AF144" i="2"/>
  <c r="AF143" i="2" s="1"/>
  <c r="AF142" i="2" s="1"/>
  <c r="AF141" i="2" s="1"/>
  <c r="AF140" i="2" s="1"/>
  <c r="AE144" i="2"/>
  <c r="AE143" i="2" s="1"/>
  <c r="AE142" i="2" s="1"/>
  <c r="AE141" i="2" s="1"/>
  <c r="AE140" i="2" s="1"/>
  <c r="AE158" i="2"/>
  <c r="AE157" i="2" s="1"/>
  <c r="AE156" i="2" s="1"/>
  <c r="H698" i="7"/>
  <c r="H697" i="7" s="1"/>
  <c r="H696" i="7" s="1"/>
  <c r="H695" i="7" s="1"/>
  <c r="H694" i="7" s="1"/>
  <c r="E267" i="9"/>
  <c r="E266" i="9" s="1"/>
  <c r="E265" i="9" s="1"/>
  <c r="E264" i="9" s="1"/>
  <c r="F698" i="7"/>
  <c r="F697" i="7" s="1"/>
  <c r="F696" i="7" s="1"/>
  <c r="F695" i="7" s="1"/>
  <c r="F694" i="7" s="1"/>
  <c r="D266" i="9"/>
  <c r="D265" i="9" s="1"/>
  <c r="D264" i="9" s="1"/>
  <c r="D263" i="9"/>
  <c r="D262" i="9" s="1"/>
  <c r="D261" i="9" s="1"/>
  <c r="D260" i="9" s="1"/>
  <c r="AF158" i="2"/>
  <c r="AF157" i="2" s="1"/>
  <c r="AF156" i="2" s="1"/>
  <c r="AD158" i="2"/>
  <c r="AD157" i="2" s="1"/>
  <c r="AD156" i="2" s="1"/>
  <c r="AD414" i="2"/>
  <c r="AD404" i="2" s="1"/>
  <c r="AD403" i="2" s="1"/>
  <c r="AF414" i="2"/>
  <c r="AE414" i="2"/>
  <c r="D174" i="9"/>
  <c r="D173" i="9" s="1"/>
  <c r="D172" i="9" s="1"/>
  <c r="D168" i="9"/>
  <c r="F225" i="7"/>
  <c r="F224" i="7" s="1"/>
  <c r="D533" i="9"/>
  <c r="D532" i="9" s="1"/>
  <c r="D531" i="9" s="1"/>
  <c r="E56" i="10"/>
  <c r="F86" i="7"/>
  <c r="F85" i="7" s="1"/>
  <c r="F84" i="7" s="1"/>
  <c r="F83" i="7" s="1"/>
  <c r="F82" i="7" s="1"/>
  <c r="D507" i="9"/>
  <c r="D506" i="9" s="1"/>
  <c r="D505" i="9" s="1"/>
  <c r="H86" i="7"/>
  <c r="H85" i="7" s="1"/>
  <c r="H84" i="7" s="1"/>
  <c r="H83" i="7" s="1"/>
  <c r="H82" i="7" s="1"/>
  <c r="AE290" i="2"/>
  <c r="AE289" i="2" s="1"/>
  <c r="AE288" i="2" s="1"/>
  <c r="AF290" i="2"/>
  <c r="AF289" i="2" s="1"/>
  <c r="AF288" i="2" s="1"/>
  <c r="AE183" i="2"/>
  <c r="AE182" i="2" s="1"/>
  <c r="AF183" i="2"/>
  <c r="AF182" i="2" s="1"/>
  <c r="J262" i="7"/>
  <c r="J261" i="7" s="1"/>
  <c r="AD183" i="2"/>
  <c r="AD182" i="2" s="1"/>
  <c r="J297" i="7"/>
  <c r="J296" i="7" s="1"/>
  <c r="J295" i="7" s="1"/>
  <c r="F270" i="9"/>
  <c r="F269" i="9" s="1"/>
  <c r="D270" i="9"/>
  <c r="D269" i="9" s="1"/>
  <c r="F200" i="9"/>
  <c r="F199" i="9" s="1"/>
  <c r="D440" i="9"/>
  <c r="D437" i="9" s="1"/>
  <c r="E401" i="9"/>
  <c r="E400" i="9" s="1"/>
  <c r="H137" i="7"/>
  <c r="F401" i="9"/>
  <c r="F400" i="9" s="1"/>
  <c r="J137" i="7"/>
  <c r="D401" i="9"/>
  <c r="F137" i="7"/>
  <c r="G851" i="7"/>
  <c r="K851" i="7"/>
  <c r="I851" i="7"/>
  <c r="D102" i="9"/>
  <c r="D101" i="9" s="1"/>
  <c r="H585" i="7"/>
  <c r="H584" i="7" s="1"/>
  <c r="K615" i="7"/>
  <c r="K614" i="7" s="1"/>
  <c r="K613" i="7" s="1"/>
  <c r="K600" i="7" s="1"/>
  <c r="F102" i="9"/>
  <c r="F101" i="9" s="1"/>
  <c r="J585" i="7"/>
  <c r="J584" i="7" s="1"/>
  <c r="I615" i="7"/>
  <c r="I614" i="7" s="1"/>
  <c r="I613" i="7" s="1"/>
  <c r="I600" i="7" s="1"/>
  <c r="E102" i="9"/>
  <c r="E101" i="9" s="1"/>
  <c r="G586" i="7"/>
  <c r="G585" i="7" s="1"/>
  <c r="G584" i="7" s="1"/>
  <c r="G576" i="7" s="1"/>
  <c r="G575" i="7" s="1"/>
  <c r="D311" i="9"/>
  <c r="AE320" i="2"/>
  <c r="AE319" i="2" s="1"/>
  <c r="AE313" i="2" s="1"/>
  <c r="AF320" i="2"/>
  <c r="AF319" i="2" s="1"/>
  <c r="AF313" i="2" s="1"/>
  <c r="J198" i="7"/>
  <c r="J197" i="7" s="1"/>
  <c r="J196" i="7" s="1"/>
  <c r="AF124" i="2"/>
  <c r="AF123" i="2" s="1"/>
  <c r="J698" i="7"/>
  <c r="J697" i="7" s="1"/>
  <c r="J696" i="7" s="1"/>
  <c r="J695" i="7" s="1"/>
  <c r="F266" i="9"/>
  <c r="F265" i="9" s="1"/>
  <c r="F264" i="9" s="1"/>
  <c r="K197" i="7"/>
  <c r="K196" i="7" s="1"/>
  <c r="AE401" i="2"/>
  <c r="AE400" i="2" s="1"/>
  <c r="AE393" i="2" s="1"/>
  <c r="AE392" i="2" s="1"/>
  <c r="J181" i="7"/>
  <c r="J180" i="7" s="1"/>
  <c r="AE357" i="2"/>
  <c r="AE356" i="2" s="1"/>
  <c r="AE355" i="2" s="1"/>
  <c r="AF25" i="2"/>
  <c r="AF24" i="2" s="1"/>
  <c r="AF23" i="2" s="1"/>
  <c r="AF22" i="2" s="1"/>
  <c r="E205" i="9"/>
  <c r="E204" i="9" s="1"/>
  <c r="E203" i="9" s="1"/>
  <c r="K738" i="7"/>
  <c r="K737" i="7" s="1"/>
  <c r="K736" i="7" s="1"/>
  <c r="F544" i="7"/>
  <c r="F543" i="7" s="1"/>
  <c r="AF357" i="2"/>
  <c r="AF356" i="2" s="1"/>
  <c r="AF355" i="2" s="1"/>
  <c r="AE349" i="2"/>
  <c r="AD241" i="2"/>
  <c r="AF241" i="2"/>
  <c r="AE241" i="2"/>
  <c r="E559" i="9"/>
  <c r="E558" i="9" s="1"/>
  <c r="E557" i="9" s="1"/>
  <c r="E556" i="9" s="1"/>
  <c r="E555" i="9" s="1"/>
  <c r="E667" i="9"/>
  <c r="E666" i="9" s="1"/>
  <c r="E665" i="9" s="1"/>
  <c r="F320" i="7"/>
  <c r="F319" i="7" s="1"/>
  <c r="F318" i="7" s="1"/>
  <c r="F317" i="7" s="1"/>
  <c r="F316" i="7" s="1"/>
  <c r="F315" i="7" s="1"/>
  <c r="G738" i="7"/>
  <c r="G737" i="7" s="1"/>
  <c r="G736" i="7" s="1"/>
  <c r="E47" i="9"/>
  <c r="E46" i="9" s="1"/>
  <c r="E43" i="9" s="1"/>
  <c r="E275" i="9"/>
  <c r="E274" i="9" s="1"/>
  <c r="E273" i="9" s="1"/>
  <c r="K628" i="7"/>
  <c r="K627" i="7" s="1"/>
  <c r="K626" i="7" s="1"/>
  <c r="K625" i="7" s="1"/>
  <c r="AF75" i="2"/>
  <c r="AF74" i="2" s="1"/>
  <c r="AD478" i="2"/>
  <c r="AD477" i="2" s="1"/>
  <c r="AD476" i="2" s="1"/>
  <c r="AD475" i="2" s="1"/>
  <c r="AD474" i="2" s="1"/>
  <c r="AE478" i="2"/>
  <c r="AE477" i="2" s="1"/>
  <c r="AE476" i="2" s="1"/>
  <c r="AE475" i="2" s="1"/>
  <c r="AE474" i="2" s="1"/>
  <c r="H824" i="7"/>
  <c r="H823" i="7" s="1"/>
  <c r="I738" i="7"/>
  <c r="I737" i="7" s="1"/>
  <c r="I736" i="7" s="1"/>
  <c r="AD319" i="2"/>
  <c r="AD313" i="2" s="1"/>
  <c r="D164" i="9"/>
  <c r="E577" i="9"/>
  <c r="E576" i="9" s="1"/>
  <c r="E575" i="9" s="1"/>
  <c r="E574" i="9" s="1"/>
  <c r="F493" i="7"/>
  <c r="F492" i="7" s="1"/>
  <c r="F488" i="7" s="1"/>
  <c r="F255" i="7"/>
  <c r="F333" i="7"/>
  <c r="F332" i="7" s="1"/>
  <c r="F331" i="7" s="1"/>
  <c r="E446" i="9"/>
  <c r="E445" i="9" s="1"/>
  <c r="E444" i="9" s="1"/>
  <c r="F453" i="7"/>
  <c r="E419" i="9"/>
  <c r="E418" i="9" s="1"/>
  <c r="E417" i="9" s="1"/>
  <c r="F520" i="9"/>
  <c r="F248" i="7"/>
  <c r="F247" i="7" s="1"/>
  <c r="F246" i="7" s="1"/>
  <c r="E36" i="9"/>
  <c r="E35" i="9" s="1"/>
  <c r="E34" i="9" s="1"/>
  <c r="AD357" i="2"/>
  <c r="AD356" i="2" s="1"/>
  <c r="AD355" i="2" s="1"/>
  <c r="F450" i="7"/>
  <c r="F449" i="7" s="1"/>
  <c r="F232" i="7"/>
  <c r="F231" i="7" s="1"/>
  <c r="F230" i="7" s="1"/>
  <c r="F229" i="7" s="1"/>
  <c r="F228" i="7" s="1"/>
  <c r="F227" i="7" s="1"/>
  <c r="D25" i="10" s="1"/>
  <c r="AE25" i="2"/>
  <c r="AE24" i="2" s="1"/>
  <c r="AE23" i="2" s="1"/>
  <c r="AE22" i="2" s="1"/>
  <c r="AF373" i="2"/>
  <c r="F50" i="9"/>
  <c r="F49" i="9" s="1"/>
  <c r="F48" i="9" s="1"/>
  <c r="H872" i="7"/>
  <c r="H871" i="7" s="1"/>
  <c r="H867" i="7" s="1"/>
  <c r="F155" i="7"/>
  <c r="F154" i="7" s="1"/>
  <c r="E512" i="9"/>
  <c r="E511" i="9" s="1"/>
  <c r="E510" i="9" s="1"/>
  <c r="E509" i="9" s="1"/>
  <c r="F297" i="7"/>
  <c r="F296" i="7" s="1"/>
  <c r="F295" i="7" s="1"/>
  <c r="F846" i="7"/>
  <c r="K845" i="7"/>
  <c r="K844" i="7" s="1"/>
  <c r="J872" i="7"/>
  <c r="J871" i="7" s="1"/>
  <c r="J867" i="7" s="1"/>
  <c r="I628" i="7"/>
  <c r="I627" i="7" s="1"/>
  <c r="I626" i="7" s="1"/>
  <c r="I625" i="7" s="1"/>
  <c r="E488" i="9"/>
  <c r="E487" i="9" s="1"/>
  <c r="J627" i="7"/>
  <c r="J626" i="7" s="1"/>
  <c r="F504" i="7"/>
  <c r="F503" i="7" s="1"/>
  <c r="F73" i="7"/>
  <c r="F72" i="7" s="1"/>
  <c r="AE374" i="2"/>
  <c r="AE373" i="2" s="1"/>
  <c r="J614" i="7"/>
  <c r="J613" i="7" s="1"/>
  <c r="F585" i="7"/>
  <c r="F584" i="7" s="1"/>
  <c r="F183" i="7"/>
  <c r="F880" i="7"/>
  <c r="F879" i="7" s="1"/>
  <c r="F115" i="7"/>
  <c r="F114" i="7" s="1"/>
  <c r="AD75" i="2"/>
  <c r="AD74" i="2" s="1"/>
  <c r="F435" i="9"/>
  <c r="F434" i="9" s="1"/>
  <c r="F433" i="9" s="1"/>
  <c r="F240" i="7"/>
  <c r="F239" i="7" s="1"/>
  <c r="F238" i="7" s="1"/>
  <c r="F577" i="9"/>
  <c r="F576" i="9" s="1"/>
  <c r="F575" i="9" s="1"/>
  <c r="F574" i="9" s="1"/>
  <c r="G313" i="7"/>
  <c r="G312" i="7" s="1"/>
  <c r="G309" i="7" s="1"/>
  <c r="F312" i="7"/>
  <c r="F309" i="7" s="1"/>
  <c r="AF212" i="2"/>
  <c r="AF211" i="2" s="1"/>
  <c r="F188" i="7"/>
  <c r="J372" i="7"/>
  <c r="J371" i="7" s="1"/>
  <c r="F275" i="9"/>
  <c r="F274" i="9" s="1"/>
  <c r="F273" i="9" s="1"/>
  <c r="F776" i="7"/>
  <c r="AD401" i="2"/>
  <c r="AD400" i="2" s="1"/>
  <c r="AD393" i="2" s="1"/>
  <c r="AD392" i="2" s="1"/>
  <c r="D603" i="9"/>
  <c r="D602" i="9" s="1"/>
  <c r="AF478" i="2"/>
  <c r="AF477" i="2" s="1"/>
  <c r="AF476" i="2" s="1"/>
  <c r="AF475" i="2" s="1"/>
  <c r="AF474" i="2" s="1"/>
  <c r="D88" i="9"/>
  <c r="D87" i="9" s="1"/>
  <c r="D86" i="9" s="1"/>
  <c r="D85" i="9" s="1"/>
  <c r="F579" i="7"/>
  <c r="F578" i="7" s="1"/>
  <c r="F577" i="7" s="1"/>
  <c r="J493" i="7"/>
  <c r="J492" i="7" s="1"/>
  <c r="J488" i="7" s="1"/>
  <c r="D520" i="9"/>
  <c r="D514" i="9" s="1"/>
  <c r="D513" i="9" s="1"/>
  <c r="H630" i="7"/>
  <c r="H629" i="7" s="1"/>
  <c r="H679" i="7"/>
  <c r="H678" i="7" s="1"/>
  <c r="H677" i="7" s="1"/>
  <c r="H676" i="7" s="1"/>
  <c r="I679" i="7"/>
  <c r="I678" i="7" s="1"/>
  <c r="AD25" i="2"/>
  <c r="AD24" i="2" s="1"/>
  <c r="AD23" i="2" s="1"/>
  <c r="AD22" i="2" s="1"/>
  <c r="AE266" i="2"/>
  <c r="AE265" i="2" s="1"/>
  <c r="AE264" i="2" s="1"/>
  <c r="AE263" i="2" s="1"/>
  <c r="E493" i="9"/>
  <c r="E492" i="9" s="1"/>
  <c r="AF401" i="2"/>
  <c r="AF400" i="2" s="1"/>
  <c r="AF393" i="2" s="1"/>
  <c r="AF392" i="2" s="1"/>
  <c r="H484" i="7"/>
  <c r="H483" i="7" s="1"/>
  <c r="H473" i="7" s="1"/>
  <c r="D198" i="9"/>
  <c r="D197" i="9" s="1"/>
  <c r="D196" i="9" s="1"/>
  <c r="D195" i="9" s="1"/>
  <c r="D194" i="9" s="1"/>
  <c r="D345" i="9"/>
  <c r="D344" i="9" s="1"/>
  <c r="D343" i="9" s="1"/>
  <c r="F862" i="7"/>
  <c r="F861" i="7" s="1"/>
  <c r="D435" i="9"/>
  <c r="D434" i="9" s="1"/>
  <c r="D433" i="9" s="1"/>
  <c r="F21" i="7"/>
  <c r="AD38" i="2"/>
  <c r="AD37" i="2" s="1"/>
  <c r="AD36" i="2" s="1"/>
  <c r="AD35" i="2" s="1"/>
  <c r="AD212" i="2"/>
  <c r="AD211" i="2" s="1"/>
  <c r="AD349" i="2"/>
  <c r="AE75" i="2"/>
  <c r="AE74" i="2" s="1"/>
  <c r="AE494" i="2"/>
  <c r="AE496" i="2"/>
  <c r="AE495" i="2" s="1"/>
  <c r="AE493" i="2"/>
  <c r="AE492" i="2" s="1"/>
  <c r="AE446" i="2"/>
  <c r="AE445" i="2" s="1"/>
  <c r="AE447" i="2"/>
  <c r="E520" i="9"/>
  <c r="F344" i="7"/>
  <c r="F343" i="7" s="1"/>
  <c r="F342" i="7" s="1"/>
  <c r="F341" i="7" s="1"/>
  <c r="AD67" i="2"/>
  <c r="E548" i="9"/>
  <c r="E547" i="9" s="1"/>
  <c r="E546" i="9" s="1"/>
  <c r="E545" i="9" s="1"/>
  <c r="E498" i="9"/>
  <c r="E497" i="9" s="1"/>
  <c r="E496" i="9" s="1"/>
  <c r="E281" i="9"/>
  <c r="E280" i="9" s="1"/>
  <c r="J199" i="7"/>
  <c r="F675" i="9"/>
  <c r="F674" i="9" s="1"/>
  <c r="F673" i="9" s="1"/>
  <c r="F665" i="7"/>
  <c r="F664" i="7" s="1"/>
  <c r="F663" i="7" s="1"/>
  <c r="F662" i="7" s="1"/>
  <c r="AD494" i="2"/>
  <c r="F152" i="7"/>
  <c r="F151" i="7" s="1"/>
  <c r="F726" i="7"/>
  <c r="F725" i="7" s="1"/>
  <c r="F704" i="7"/>
  <c r="F703" i="7" s="1"/>
  <c r="F97" i="7"/>
  <c r="AE466" i="2"/>
  <c r="AE465" i="2" s="1"/>
  <c r="AE464" i="2" s="1"/>
  <c r="E24" i="9"/>
  <c r="E23" i="9" s="1"/>
  <c r="E22" i="9" s="1"/>
  <c r="E21" i="9" s="1"/>
  <c r="E20" i="9" s="1"/>
  <c r="AE236" i="2"/>
  <c r="AE235" i="2" s="1"/>
  <c r="AE234" i="2" s="1"/>
  <c r="AE226" i="2" s="1"/>
  <c r="E186" i="9"/>
  <c r="E185" i="9" s="1"/>
  <c r="E184" i="9" s="1"/>
  <c r="F139" i="7"/>
  <c r="AF349" i="2"/>
  <c r="F689" i="9"/>
  <c r="F688" i="9" s="1"/>
  <c r="F687" i="9" s="1"/>
  <c r="I586" i="7"/>
  <c r="I585" i="7" s="1"/>
  <c r="I584" i="7" s="1"/>
  <c r="I576" i="7" s="1"/>
  <c r="I575" i="7" s="1"/>
  <c r="E583" i="9"/>
  <c r="F583" i="9"/>
  <c r="E486" i="9"/>
  <c r="E485" i="9" s="1"/>
  <c r="F709" i="9"/>
  <c r="F708" i="9" s="1"/>
  <c r="F707" i="9" s="1"/>
  <c r="F548" i="9"/>
  <c r="F547" i="9" s="1"/>
  <c r="F546" i="9" s="1"/>
  <c r="F545" i="9" s="1"/>
  <c r="F517" i="9"/>
  <c r="F516" i="9" s="1"/>
  <c r="F515" i="9" s="1"/>
  <c r="E435" i="9"/>
  <c r="E434" i="9" s="1"/>
  <c r="E433" i="9" s="1"/>
  <c r="E675" i="9"/>
  <c r="E674" i="9" s="1"/>
  <c r="E673" i="9" s="1"/>
  <c r="F462" i="9"/>
  <c r="F461" i="9" s="1"/>
  <c r="F460" i="9" s="1"/>
  <c r="F498" i="9"/>
  <c r="F497" i="9" s="1"/>
  <c r="F496" i="9" s="1"/>
  <c r="F24" i="9"/>
  <c r="F23" i="9" s="1"/>
  <c r="F22" i="9" s="1"/>
  <c r="F21" i="9" s="1"/>
  <c r="F20" i="9" s="1"/>
  <c r="F293" i="7"/>
  <c r="F292" i="7" s="1"/>
  <c r="F491" i="9"/>
  <c r="F490" i="9" s="1"/>
  <c r="F857" i="7"/>
  <c r="F856" i="7" s="1"/>
  <c r="F852" i="7" s="1"/>
  <c r="F39" i="9"/>
  <c r="F38" i="9" s="1"/>
  <c r="F37" i="9" s="1"/>
  <c r="J455" i="7"/>
  <c r="J452" i="7" s="1"/>
  <c r="E569" i="9"/>
  <c r="E568" i="9" s="1"/>
  <c r="E567" i="9" s="1"/>
  <c r="E566" i="9" s="1"/>
  <c r="F186" i="9"/>
  <c r="F185" i="9" s="1"/>
  <c r="F184" i="9" s="1"/>
  <c r="E329" i="9"/>
  <c r="E328" i="9" s="1"/>
  <c r="F549" i="7"/>
  <c r="F548" i="7" s="1"/>
  <c r="F96" i="7"/>
  <c r="F422" i="9"/>
  <c r="F421" i="9" s="1"/>
  <c r="F420" i="9" s="1"/>
  <c r="F42" i="7"/>
  <c r="F41" i="7" s="1"/>
  <c r="F746" i="7"/>
  <c r="F745" i="7" s="1"/>
  <c r="F181" i="7"/>
  <c r="F729" i="7"/>
  <c r="F728" i="7" s="1"/>
  <c r="E403" i="9"/>
  <c r="E402" i="9" s="1"/>
  <c r="F537" i="9"/>
  <c r="F536" i="9" s="1"/>
  <c r="F535" i="9" s="1"/>
  <c r="F534" i="9" s="1"/>
  <c r="F251" i="9"/>
  <c r="F559" i="9"/>
  <c r="F558" i="9" s="1"/>
  <c r="F557" i="9" s="1"/>
  <c r="F556" i="9" s="1"/>
  <c r="F555" i="9" s="1"/>
  <c r="F281" i="9"/>
  <c r="F280" i="9" s="1"/>
  <c r="F279" i="9" s="1"/>
  <c r="F315" i="9"/>
  <c r="F314" i="9" s="1"/>
  <c r="F313" i="9" s="1"/>
  <c r="F312" i="9" s="1"/>
  <c r="F264" i="7"/>
  <c r="F263" i="7" s="1"/>
  <c r="F186" i="7"/>
  <c r="H225" i="7"/>
  <c r="H224" i="7" s="1"/>
  <c r="H255" i="7"/>
  <c r="H880" i="7"/>
  <c r="H879" i="7" s="1"/>
  <c r="F741" i="7"/>
  <c r="F552" i="7"/>
  <c r="F551" i="7" s="1"/>
  <c r="E449" i="9"/>
  <c r="E448" i="9" s="1"/>
  <c r="E447" i="9" s="1"/>
  <c r="F408" i="9"/>
  <c r="F407" i="9" s="1"/>
  <c r="F406" i="9" s="1"/>
  <c r="E491" i="9"/>
  <c r="E490" i="9" s="1"/>
  <c r="E39" i="9"/>
  <c r="E38" i="9" s="1"/>
  <c r="E37" i="9" s="1"/>
  <c r="J862" i="7"/>
  <c r="J861" i="7" s="1"/>
  <c r="J846" i="7"/>
  <c r="H788" i="7"/>
  <c r="H627" i="7"/>
  <c r="H626" i="7" s="1"/>
  <c r="AD250" i="2"/>
  <c r="AD249" i="2" s="1"/>
  <c r="AD248" i="2" s="1"/>
  <c r="J96" i="7"/>
  <c r="J97" i="7"/>
  <c r="H135" i="7"/>
  <c r="H134" i="7" s="1"/>
  <c r="E399" i="9"/>
  <c r="E398" i="9" s="1"/>
  <c r="H109" i="7"/>
  <c r="H108" i="7" s="1"/>
  <c r="E703" i="9"/>
  <c r="E702" i="9" s="1"/>
  <c r="E701" i="9" s="1"/>
  <c r="H259" i="7"/>
  <c r="D577" i="9"/>
  <c r="D576" i="9" s="1"/>
  <c r="D575" i="9" s="1"/>
  <c r="D574" i="9" s="1"/>
  <c r="F752" i="7"/>
  <c r="F751" i="7" s="1"/>
  <c r="F750" i="7" s="1"/>
  <c r="E425" i="9"/>
  <c r="E424" i="9" s="1"/>
  <c r="E423" i="9" s="1"/>
  <c r="J177" i="7"/>
  <c r="J172" i="7" s="1"/>
  <c r="F482" i="9"/>
  <c r="F481" i="9" s="1"/>
  <c r="F476" i="9" s="1"/>
  <c r="E64" i="10"/>
  <c r="E63" i="10" s="1"/>
  <c r="H365" i="7"/>
  <c r="H364" i="7" s="1"/>
  <c r="H363" i="7" s="1"/>
  <c r="E572" i="9"/>
  <c r="E571" i="9" s="1"/>
  <c r="E570" i="9" s="1"/>
  <c r="H450" i="7"/>
  <c r="H449" i="7" s="1"/>
  <c r="E278" i="9"/>
  <c r="E277" i="9" s="1"/>
  <c r="E276" i="9" s="1"/>
  <c r="E672" i="9"/>
  <c r="E671" i="9" s="1"/>
  <c r="E670" i="9" s="1"/>
  <c r="H549" i="7"/>
  <c r="H548" i="7" s="1"/>
  <c r="E200" i="9"/>
  <c r="E199" i="9" s="1"/>
  <c r="F34" i="7"/>
  <c r="F35" i="7"/>
  <c r="D50" i="9"/>
  <c r="D49" i="9" s="1"/>
  <c r="D48" i="9" s="1"/>
  <c r="F786" i="7"/>
  <c r="F785" i="7" s="1"/>
  <c r="G376" i="7"/>
  <c r="G375" i="7" s="1"/>
  <c r="G374" i="7" s="1"/>
  <c r="G370" i="7" s="1"/>
  <c r="G369" i="7" s="1"/>
  <c r="G368" i="7" s="1"/>
  <c r="G367" i="7" s="1"/>
  <c r="F375" i="7"/>
  <c r="F374" i="7" s="1"/>
  <c r="D275" i="9"/>
  <c r="D274" i="9" s="1"/>
  <c r="D273" i="9" s="1"/>
  <c r="F372" i="7"/>
  <c r="F371" i="7" s="1"/>
  <c r="D453" i="9"/>
  <c r="D452" i="9" s="1"/>
  <c r="D451" i="9" s="1"/>
  <c r="F94" i="7"/>
  <c r="F93" i="7" s="1"/>
  <c r="D425" i="9"/>
  <c r="D424" i="9" s="1"/>
  <c r="D423" i="9" s="1"/>
  <c r="F158" i="7"/>
  <c r="F157" i="7" s="1"/>
  <c r="D414" i="9"/>
  <c r="D413" i="9" s="1"/>
  <c r="G148" i="7"/>
  <c r="G147" i="7" s="1"/>
  <c r="D537" i="9"/>
  <c r="D536" i="9" s="1"/>
  <c r="D535" i="9" s="1"/>
  <c r="D534" i="9" s="1"/>
  <c r="G201" i="7"/>
  <c r="G200" i="7" s="1"/>
  <c r="G199" i="7" s="1"/>
  <c r="G198" i="7" s="1"/>
  <c r="G197" i="7" s="1"/>
  <c r="G196" i="7" s="1"/>
  <c r="D511" i="9"/>
  <c r="D510" i="9" s="1"/>
  <c r="D509" i="9" s="1"/>
  <c r="F463" i="7"/>
  <c r="F462" i="7" s="1"/>
  <c r="F461" i="7" s="1"/>
  <c r="F460" i="7" s="1"/>
  <c r="F459" i="7" s="1"/>
  <c r="D100" i="9"/>
  <c r="D99" i="9" s="1"/>
  <c r="D96" i="9" s="1"/>
  <c r="F611" i="7"/>
  <c r="F608" i="7" s="1"/>
  <c r="E100" i="9"/>
  <c r="E99" i="9" s="1"/>
  <c r="E96" i="9" s="1"/>
  <c r="H611" i="7"/>
  <c r="H608" i="7" s="1"/>
  <c r="F630" i="9"/>
  <c r="F629" i="9" s="1"/>
  <c r="F628" i="9" s="1"/>
  <c r="J507" i="7"/>
  <c r="J506" i="7" s="1"/>
  <c r="F627" i="9"/>
  <c r="F626" i="9" s="1"/>
  <c r="F625" i="9" s="1"/>
  <c r="J665" i="7"/>
  <c r="J664" i="7" s="1"/>
  <c r="J663" i="7" s="1"/>
  <c r="J662" i="7" s="1"/>
  <c r="H579" i="7"/>
  <c r="H578" i="7" s="1"/>
  <c r="H577" i="7" s="1"/>
  <c r="E88" i="9"/>
  <c r="E87" i="9" s="1"/>
  <c r="E86" i="9" s="1"/>
  <c r="E85" i="9" s="1"/>
  <c r="J42" i="7"/>
  <c r="J41" i="7" s="1"/>
  <c r="F696" i="9"/>
  <c r="F695" i="9" s="1"/>
  <c r="F694" i="9" s="1"/>
  <c r="J729" i="7"/>
  <c r="J728" i="7" s="1"/>
  <c r="F183" i="9"/>
  <c r="F182" i="9" s="1"/>
  <c r="F181" i="9" s="1"/>
  <c r="J450" i="7"/>
  <c r="J449" i="7" s="1"/>
  <c r="F278" i="9"/>
  <c r="F277" i="9" s="1"/>
  <c r="F276" i="9" s="1"/>
  <c r="H68" i="7"/>
  <c r="H65" i="7" s="1"/>
  <c r="E440" i="9"/>
  <c r="E437" i="9" s="1"/>
  <c r="H248" i="7"/>
  <c r="H247" i="7" s="1"/>
  <c r="H246" i="7" s="1"/>
  <c r="J52" i="7"/>
  <c r="K53" i="7"/>
  <c r="K52" i="7" s="1"/>
  <c r="H330" i="7"/>
  <c r="F76" i="7"/>
  <c r="F75" i="7" s="1"/>
  <c r="F147" i="7"/>
  <c r="F419" i="9"/>
  <c r="F418" i="9" s="1"/>
  <c r="F417" i="9" s="1"/>
  <c r="J248" i="7"/>
  <c r="J247" i="7" s="1"/>
  <c r="J246" i="7" s="1"/>
  <c r="J237" i="7" s="1"/>
  <c r="D644" i="9"/>
  <c r="D643" i="9" s="1"/>
  <c r="E459" i="9"/>
  <c r="E458" i="9" s="1"/>
  <c r="E457" i="9" s="1"/>
  <c r="E422" i="9"/>
  <c r="E421" i="9" s="1"/>
  <c r="E420" i="9" s="1"/>
  <c r="J200" i="7"/>
  <c r="F180" i="9"/>
  <c r="F179" i="9" s="1"/>
  <c r="F178" i="9" s="1"/>
  <c r="G863" i="7"/>
  <c r="G862" i="7" s="1"/>
  <c r="G861" i="7" s="1"/>
  <c r="F32" i="7"/>
  <c r="F31" i="7" s="1"/>
  <c r="F177" i="7"/>
  <c r="F172" i="7" s="1"/>
  <c r="E719" i="9"/>
  <c r="E718" i="9" s="1"/>
  <c r="E717" i="9" s="1"/>
  <c r="E713" i="9" s="1"/>
  <c r="E50" i="9"/>
  <c r="E49" i="9" s="1"/>
  <c r="E48" i="9" s="1"/>
  <c r="G847" i="7"/>
  <c r="F45" i="7"/>
  <c r="F44" i="7" s="1"/>
  <c r="J35" i="7"/>
  <c r="F100" i="7"/>
  <c r="F99" i="7" s="1"/>
  <c r="E51" i="9"/>
  <c r="E164" i="9"/>
  <c r="D250" i="9"/>
  <c r="J365" i="7"/>
  <c r="J364" i="7" s="1"/>
  <c r="J363" i="7" s="1"/>
  <c r="F573" i="9"/>
  <c r="F572" i="9" s="1"/>
  <c r="F571" i="9" s="1"/>
  <c r="F570" i="9" s="1"/>
  <c r="H264" i="7"/>
  <c r="H263" i="7" s="1"/>
  <c r="E315" i="9"/>
  <c r="E314" i="9" s="1"/>
  <c r="E313" i="9" s="1"/>
  <c r="E312" i="9" s="1"/>
  <c r="J549" i="7"/>
  <c r="J548" i="7" s="1"/>
  <c r="F672" i="9"/>
  <c r="F671" i="9" s="1"/>
  <c r="F670" i="9" s="1"/>
  <c r="E212" i="9"/>
  <c r="E211" i="9" s="1"/>
  <c r="I55" i="7"/>
  <c r="I54" i="7" s="1"/>
  <c r="H54" i="7"/>
  <c r="J630" i="7"/>
  <c r="J629" i="7" s="1"/>
  <c r="F100" i="9"/>
  <c r="F99" i="9" s="1"/>
  <c r="F96" i="9" s="1"/>
  <c r="J611" i="7"/>
  <c r="J608" i="7" s="1"/>
  <c r="H821" i="7"/>
  <c r="J293" i="7"/>
  <c r="J292" i="7" s="1"/>
  <c r="F262" i="9"/>
  <c r="F261" i="9" s="1"/>
  <c r="K846" i="7"/>
  <c r="E644" i="9"/>
  <c r="E643" i="9" s="1"/>
  <c r="F212" i="9"/>
  <c r="F211" i="9" s="1"/>
  <c r="K55" i="7"/>
  <c r="K54" i="7" s="1"/>
  <c r="J54" i="7"/>
  <c r="D329" i="9"/>
  <c r="D328" i="9" s="1"/>
  <c r="F278" i="7"/>
  <c r="D95" i="9"/>
  <c r="D94" i="9" s="1"/>
  <c r="D93" i="9" s="1"/>
  <c r="F606" i="7"/>
  <c r="F605" i="7" s="1"/>
  <c r="F455" i="7"/>
  <c r="F383" i="7"/>
  <c r="F382" i="7" s="1"/>
  <c r="F381" i="7" s="1"/>
  <c r="F380" i="7" s="1"/>
  <c r="F379" i="7" s="1"/>
  <c r="F378" i="7" s="1"/>
  <c r="F39" i="7"/>
  <c r="F38" i="7" s="1"/>
  <c r="E533" i="9"/>
  <c r="E532" i="9" s="1"/>
  <c r="E531" i="9" s="1"/>
  <c r="E453" i="9"/>
  <c r="E452" i="9" s="1"/>
  <c r="E451" i="9" s="1"/>
  <c r="F468" i="9"/>
  <c r="F467" i="9" s="1"/>
  <c r="F466" i="9" s="1"/>
  <c r="F512" i="9"/>
  <c r="F511" i="9" s="1"/>
  <c r="F510" i="9" s="1"/>
  <c r="F509" i="9" s="1"/>
  <c r="F345" i="9"/>
  <c r="F344" i="9" s="1"/>
  <c r="F343" i="9" s="1"/>
  <c r="F743" i="7"/>
  <c r="F644" i="9"/>
  <c r="F643" i="9" s="1"/>
  <c r="H665" i="7"/>
  <c r="H664" i="7" s="1"/>
  <c r="H663" i="7" s="1"/>
  <c r="H662" i="7" s="1"/>
  <c r="H324" i="7"/>
  <c r="H323" i="7" s="1"/>
  <c r="H322" i="7" s="1"/>
  <c r="H314" i="7" s="1"/>
  <c r="G845" i="7"/>
  <c r="G844" i="7" s="1"/>
  <c r="J544" i="7"/>
  <c r="J543" i="7" s="1"/>
  <c r="F667" i="9"/>
  <c r="F666" i="9" s="1"/>
  <c r="F665" i="9" s="1"/>
  <c r="F192" i="9"/>
  <c r="F191" i="9" s="1"/>
  <c r="F190" i="9" s="1"/>
  <c r="F189" i="9" s="1"/>
  <c r="F188" i="9" s="1"/>
  <c r="J824" i="7"/>
  <c r="J823" i="7" s="1"/>
  <c r="J822" i="7"/>
  <c r="J820" i="7" s="1"/>
  <c r="J819" i="7" s="1"/>
  <c r="D33" i="9"/>
  <c r="D32" i="9" s="1"/>
  <c r="D31" i="9" s="1"/>
  <c r="F769" i="7"/>
  <c r="F768" i="7" s="1"/>
  <c r="D333" i="9"/>
  <c r="D569" i="9"/>
  <c r="D568" i="9" s="1"/>
  <c r="D567" i="9" s="1"/>
  <c r="D566" i="9" s="1"/>
  <c r="D664" i="9"/>
  <c r="D663" i="9" s="1"/>
  <c r="D662" i="9" s="1"/>
  <c r="D142" i="9"/>
  <c r="D141" i="9" s="1"/>
  <c r="D140" i="9" s="1"/>
  <c r="D139" i="9" s="1"/>
  <c r="F641" i="7"/>
  <c r="F640" i="7" s="1"/>
  <c r="F639" i="7" s="1"/>
  <c r="J68" i="7"/>
  <c r="J65" i="7" s="1"/>
  <c r="F440" i="9"/>
  <c r="F437" i="9" s="1"/>
  <c r="J375" i="7"/>
  <c r="J374" i="7" s="1"/>
  <c r="F288" i="9"/>
  <c r="F287" i="9" s="1"/>
  <c r="F286" i="9" s="1"/>
  <c r="H293" i="7"/>
  <c r="H292" i="7" s="1"/>
  <c r="E262" i="9"/>
  <c r="E261" i="9" s="1"/>
  <c r="F142" i="9"/>
  <c r="F141" i="9" s="1"/>
  <c r="F140" i="9" s="1"/>
  <c r="F139" i="9" s="1"/>
  <c r="J641" i="7"/>
  <c r="J640" i="7" s="1"/>
  <c r="J639" i="7" s="1"/>
  <c r="F135" i="7"/>
  <c r="F68" i="7"/>
  <c r="F65" i="7" s="1"/>
  <c r="F723" i="7"/>
  <c r="F722" i="7" s="1"/>
  <c r="F302" i="9"/>
  <c r="F301" i="9" s="1"/>
  <c r="F300" i="9" s="1"/>
  <c r="F299" i="9" s="1"/>
  <c r="F298" i="9" s="1"/>
  <c r="K586" i="7"/>
  <c r="K585" i="7" s="1"/>
  <c r="K584" i="7" s="1"/>
  <c r="K576" i="7" s="1"/>
  <c r="K575" i="7" s="1"/>
  <c r="D47" i="9"/>
  <c r="D46" i="9" s="1"/>
  <c r="D43" i="9" s="1"/>
  <c r="F783" i="7"/>
  <c r="F780" i="7" s="1"/>
  <c r="D210" i="9"/>
  <c r="D209" i="9" s="1"/>
  <c r="G53" i="7"/>
  <c r="G52" i="7" s="1"/>
  <c r="E142" i="9"/>
  <c r="E141" i="9" s="1"/>
  <c r="E140" i="9" s="1"/>
  <c r="E139" i="9" s="1"/>
  <c r="H641" i="7"/>
  <c r="H640" i="7" s="1"/>
  <c r="H639" i="7" s="1"/>
  <c r="F52" i="7"/>
  <c r="F51" i="7" s="1"/>
  <c r="F50" i="7" s="1"/>
  <c r="F49" i="7" s="1"/>
  <c r="F48" i="7" s="1"/>
  <c r="F732" i="7"/>
  <c r="F731" i="7" s="1"/>
  <c r="F163" i="7"/>
  <c r="F162" i="7" s="1"/>
  <c r="E696" i="9"/>
  <c r="E695" i="9" s="1"/>
  <c r="E694" i="9" s="1"/>
  <c r="E706" i="9"/>
  <c r="E705" i="9" s="1"/>
  <c r="E704" i="9" s="1"/>
  <c r="E283" i="9"/>
  <c r="E282" i="9" s="1"/>
  <c r="F459" i="9"/>
  <c r="F458" i="9" s="1"/>
  <c r="F457" i="9" s="1"/>
  <c r="F259" i="7"/>
  <c r="F258" i="7" s="1"/>
  <c r="E612" i="9"/>
  <c r="E611" i="9" s="1"/>
  <c r="E610" i="9" s="1"/>
  <c r="E606" i="9" s="1"/>
  <c r="J139" i="7"/>
  <c r="J259" i="7"/>
  <c r="J258" i="7" s="1"/>
  <c r="J361" i="7"/>
  <c r="J360" i="7" s="1"/>
  <c r="J359" i="7" s="1"/>
  <c r="F569" i="9"/>
  <c r="F568" i="9" s="1"/>
  <c r="F567" i="9" s="1"/>
  <c r="F566" i="9" s="1"/>
  <c r="J684" i="7"/>
  <c r="J683" i="7" s="1"/>
  <c r="J682" i="7" s="1"/>
  <c r="J685" i="7"/>
  <c r="H147" i="7"/>
  <c r="I148" i="7"/>
  <c r="I147" i="7" s="1"/>
  <c r="H614" i="7"/>
  <c r="H613" i="7" s="1"/>
  <c r="H357" i="7"/>
  <c r="H356" i="7" s="1"/>
  <c r="H355" i="7" s="1"/>
  <c r="E565" i="9"/>
  <c r="E564" i="9" s="1"/>
  <c r="E563" i="9" s="1"/>
  <c r="E562" i="9" s="1"/>
  <c r="F198" i="9"/>
  <c r="F197" i="9" s="1"/>
  <c r="J739" i="7"/>
  <c r="E192" i="9"/>
  <c r="E191" i="9" s="1"/>
  <c r="E190" i="9" s="1"/>
  <c r="E189" i="9" s="1"/>
  <c r="E188" i="9" s="1"/>
  <c r="G849" i="7"/>
  <c r="G848" i="7" s="1"/>
  <c r="F848" i="7"/>
  <c r="F630" i="7"/>
  <c r="F629" i="7" s="1"/>
  <c r="H150" i="7"/>
  <c r="H149" i="7" s="1"/>
  <c r="J689" i="7"/>
  <c r="J688" i="7" s="1"/>
  <c r="F293" i="9"/>
  <c r="F292" i="9" s="1"/>
  <c r="F291" i="9" s="1"/>
  <c r="F290" i="9" s="1"/>
  <c r="F289" i="9" s="1"/>
  <c r="J255" i="7"/>
  <c r="G226" i="7"/>
  <c r="G225" i="7" s="1"/>
  <c r="G224" i="7" s="1"/>
  <c r="G615" i="7"/>
  <c r="G614" i="7" s="1"/>
  <c r="G613" i="7" s="1"/>
  <c r="G600" i="7" s="1"/>
  <c r="F614" i="7"/>
  <c r="F613" i="7" s="1"/>
  <c r="F128" i="7"/>
  <c r="F127" i="7" s="1"/>
  <c r="F126" i="7" s="1"/>
  <c r="E686" i="9"/>
  <c r="E685" i="9" s="1"/>
  <c r="E684" i="9" s="1"/>
  <c r="E414" i="9"/>
  <c r="E413" i="9" s="1"/>
  <c r="E302" i="9"/>
  <c r="E301" i="9" s="1"/>
  <c r="E300" i="9" s="1"/>
  <c r="E299" i="9" s="1"/>
  <c r="E298" i="9" s="1"/>
  <c r="F684" i="7"/>
  <c r="F683" i="7" s="1"/>
  <c r="F844" i="7"/>
  <c r="H769" i="7"/>
  <c r="H768" i="7" s="1"/>
  <c r="E33" i="9"/>
  <c r="E32" i="9" s="1"/>
  <c r="E31" i="9" s="1"/>
  <c r="G680" i="7"/>
  <c r="G679" i="7" s="1"/>
  <c r="G678" i="7" s="1"/>
  <c r="J848" i="7"/>
  <c r="K849" i="7"/>
  <c r="K848" i="7" s="1"/>
  <c r="D125" i="9"/>
  <c r="D124" i="9" s="1"/>
  <c r="D123" i="9" s="1"/>
  <c r="D122" i="9" s="1"/>
  <c r="F627" i="7"/>
  <c r="F626" i="7" s="1"/>
  <c r="G628" i="7"/>
  <c r="G627" i="7" s="1"/>
  <c r="G626" i="7" s="1"/>
  <c r="G625" i="7" s="1"/>
  <c r="E95" i="9"/>
  <c r="E94" i="9" s="1"/>
  <c r="E93" i="9" s="1"/>
  <c r="H606" i="7"/>
  <c r="H605" i="7" s="1"/>
  <c r="H604" i="7" s="1"/>
  <c r="E630" i="9"/>
  <c r="E629" i="9" s="1"/>
  <c r="E628" i="9" s="1"/>
  <c r="F109" i="7"/>
  <c r="F108" i="7" s="1"/>
  <c r="E544" i="9"/>
  <c r="E543" i="9" s="1"/>
  <c r="E542" i="9" s="1"/>
  <c r="E462" i="9"/>
  <c r="E461" i="9" s="1"/>
  <c r="E460" i="9" s="1"/>
  <c r="E180" i="9"/>
  <c r="E179" i="9" s="1"/>
  <c r="E178" i="9" s="1"/>
  <c r="E517" i="9"/>
  <c r="E516" i="9" s="1"/>
  <c r="E515" i="9" s="1"/>
  <c r="F689" i="7"/>
  <c r="F688" i="7" s="1"/>
  <c r="F453" i="9"/>
  <c r="F452" i="9" s="1"/>
  <c r="F451" i="9" s="1"/>
  <c r="F33" i="9"/>
  <c r="F32" i="9" s="1"/>
  <c r="F31" i="9" s="1"/>
  <c r="K313" i="7"/>
  <c r="K312" i="7" s="1"/>
  <c r="K309" i="7" s="1"/>
  <c r="F36" i="9"/>
  <c r="F35" i="9" s="1"/>
  <c r="F34" i="9" s="1"/>
  <c r="J772" i="7"/>
  <c r="J771" i="7" s="1"/>
  <c r="J767" i="7" s="1"/>
  <c r="J766" i="7" s="1"/>
  <c r="F210" i="9"/>
  <c r="F209" i="9"/>
  <c r="E202" i="9"/>
  <c r="E201" i="9" s="1"/>
  <c r="I845" i="7"/>
  <c r="I844" i="7" s="1"/>
  <c r="H844" i="7"/>
  <c r="E709" i="9"/>
  <c r="E708" i="9" s="1"/>
  <c r="E707" i="9" s="1"/>
  <c r="F164" i="9"/>
  <c r="F163" i="9"/>
  <c r="J135" i="7"/>
  <c r="F398" i="9"/>
  <c r="J484" i="7"/>
  <c r="J483" i="7" s="1"/>
  <c r="J473" i="7" s="1"/>
  <c r="F603" i="9"/>
  <c r="F602" i="9" s="1"/>
  <c r="F601" i="9" s="1"/>
  <c r="F591" i="9" s="1"/>
  <c r="H685" i="7"/>
  <c r="H684" i="7"/>
  <c r="H39" i="7"/>
  <c r="H38" i="7" s="1"/>
  <c r="H37" i="7" s="1"/>
  <c r="E693" i="9"/>
  <c r="E692" i="9" s="1"/>
  <c r="E691" i="9" s="1"/>
  <c r="H723" i="7"/>
  <c r="H722" i="7" s="1"/>
  <c r="E177" i="9"/>
  <c r="E176" i="9" s="1"/>
  <c r="E175" i="9" s="1"/>
  <c r="H383" i="7"/>
  <c r="H382" i="7" s="1"/>
  <c r="H381" i="7" s="1"/>
  <c r="H380" i="7" s="1"/>
  <c r="H379" i="7" s="1"/>
  <c r="H378" i="7" s="1"/>
  <c r="E408" i="9"/>
  <c r="E407" i="9" s="1"/>
  <c r="E406" i="9" s="1"/>
  <c r="D706" i="9"/>
  <c r="D705" i="9" s="1"/>
  <c r="D704" i="9" s="1"/>
  <c r="D700" i="9" s="1"/>
  <c r="F112" i="7"/>
  <c r="F111" i="7" s="1"/>
  <c r="AF446" i="2"/>
  <c r="AF445" i="2" s="1"/>
  <c r="AF447" i="2"/>
  <c r="F788" i="7"/>
  <c r="D36" i="9"/>
  <c r="D35" i="9" s="1"/>
  <c r="D34" i="9" s="1"/>
  <c r="F772" i="7"/>
  <c r="F771" i="7" s="1"/>
  <c r="D219" i="9"/>
  <c r="D218" i="9" s="1"/>
  <c r="D214" i="9" s="1"/>
  <c r="F872" i="7"/>
  <c r="F871" i="7" s="1"/>
  <c r="F867" i="7" s="1"/>
  <c r="AF493" i="2"/>
  <c r="AF492" i="2" s="1"/>
  <c r="AF494" i="2"/>
  <c r="H375" i="7"/>
  <c r="H374" i="7" s="1"/>
  <c r="H370" i="7" s="1"/>
  <c r="H369" i="7" s="1"/>
  <c r="H368" i="7" s="1"/>
  <c r="H367" i="7" s="1"/>
  <c r="E288" i="9"/>
  <c r="E287" i="9" s="1"/>
  <c r="E286" i="9" s="1"/>
  <c r="J679" i="7"/>
  <c r="J678" i="7" s="1"/>
  <c r="J677" i="7" s="1"/>
  <c r="J676" i="7" s="1"/>
  <c r="K680" i="7"/>
  <c r="K679" i="7" s="1"/>
  <c r="K678" i="7" s="1"/>
  <c r="F47" i="9"/>
  <c r="F46" i="9" s="1"/>
  <c r="F43" i="9" s="1"/>
  <c r="F703" i="9"/>
  <c r="F702" i="9" s="1"/>
  <c r="F701" i="9" s="1"/>
  <c r="J579" i="7"/>
  <c r="J578" i="7" s="1"/>
  <c r="J577" i="7" s="1"/>
  <c r="F88" i="9"/>
  <c r="F87" i="9" s="1"/>
  <c r="F86" i="9" s="1"/>
  <c r="F85" i="9" s="1"/>
  <c r="J723" i="7"/>
  <c r="J722" i="7" s="1"/>
  <c r="F177" i="9"/>
  <c r="F176" i="9" s="1"/>
  <c r="F175" i="9" s="1"/>
  <c r="H163" i="7"/>
  <c r="H162" i="7" s="1"/>
  <c r="H846" i="7"/>
  <c r="I847" i="7"/>
  <c r="I313" i="7"/>
  <c r="I312" i="7" s="1"/>
  <c r="I309" i="7" s="1"/>
  <c r="E251" i="9"/>
  <c r="D192" i="9"/>
  <c r="D191" i="9" s="1"/>
  <c r="D190" i="9" s="1"/>
  <c r="D189" i="9" s="1"/>
  <c r="D188" i="9" s="1"/>
  <c r="F822" i="7"/>
  <c r="D288" i="9"/>
  <c r="D287" i="9" s="1"/>
  <c r="D286" i="9" s="1"/>
  <c r="D565" i="9"/>
  <c r="D564" i="9" s="1"/>
  <c r="D563" i="9" s="1"/>
  <c r="D562" i="9" s="1"/>
  <c r="F357" i="7"/>
  <c r="F356" i="7" s="1"/>
  <c r="F355" i="7" s="1"/>
  <c r="E168" i="9"/>
  <c r="E167" i="9" s="1"/>
  <c r="E507" i="9"/>
  <c r="E506" i="9" s="1"/>
  <c r="E505" i="9" s="1"/>
  <c r="J86" i="7"/>
  <c r="J85" i="7" s="1"/>
  <c r="J84" i="7" s="1"/>
  <c r="H200" i="7"/>
  <c r="H199" i="7" s="1"/>
  <c r="H198" i="7" s="1"/>
  <c r="I201" i="7"/>
  <c r="I200" i="7" s="1"/>
  <c r="I199" i="7" s="1"/>
  <c r="I198" i="7" s="1"/>
  <c r="E537" i="9"/>
  <c r="E536" i="9" s="1"/>
  <c r="E535" i="9" s="1"/>
  <c r="E534" i="9" s="1"/>
  <c r="H96" i="7"/>
  <c r="H97" i="7"/>
  <c r="H297" i="7"/>
  <c r="H296" i="7" s="1"/>
  <c r="H295" i="7" s="1"/>
  <c r="E270" i="9"/>
  <c r="E269" i="9" s="1"/>
  <c r="H848" i="7"/>
  <c r="I849" i="7"/>
  <c r="I848" i="7" s="1"/>
  <c r="J147" i="7"/>
  <c r="K148" i="7"/>
  <c r="K147" i="7" s="1"/>
  <c r="H504" i="7"/>
  <c r="H503" i="7" s="1"/>
  <c r="E626" i="9"/>
  <c r="E625" i="9" s="1"/>
  <c r="D212" i="9"/>
  <c r="D211" i="9" s="1"/>
  <c r="G55" i="7"/>
  <c r="G54" i="7" s="1"/>
  <c r="F51" i="9"/>
  <c r="E209" i="9"/>
  <c r="E210" i="9"/>
  <c r="H52" i="7"/>
  <c r="I53" i="7"/>
  <c r="I52" i="7" s="1"/>
  <c r="F95" i="9"/>
  <c r="F94" i="9" s="1"/>
  <c r="F93" i="9" s="1"/>
  <c r="J606" i="7"/>
  <c r="J605" i="7" s="1"/>
  <c r="J604" i="7" s="1"/>
  <c r="D540" i="9"/>
  <c r="D539" i="9" s="1"/>
  <c r="D290" i="9"/>
  <c r="D289" i="9" s="1"/>
  <c r="D690" i="9"/>
  <c r="AD493" i="2"/>
  <c r="AD492" i="2" s="1"/>
  <c r="AD447" i="2"/>
  <c r="AD446" i="2"/>
  <c r="AD445" i="2" s="1"/>
  <c r="AD236" i="2"/>
  <c r="AD235" i="2" s="1"/>
  <c r="AD234" i="2" s="1"/>
  <c r="AD226" i="2" s="1"/>
  <c r="AD266" i="2"/>
  <c r="AD265" i="2" s="1"/>
  <c r="AD264" i="2" s="1"/>
  <c r="AD263" i="2" s="1"/>
  <c r="AD466" i="2"/>
  <c r="AD465" i="2" s="1"/>
  <c r="AD464" i="2" s="1"/>
  <c r="AF266" i="2"/>
  <c r="AF265" i="2" s="1"/>
  <c r="AF264" i="2" s="1"/>
  <c r="AF263" i="2" s="1"/>
  <c r="J112" i="7"/>
  <c r="J111" i="7" s="1"/>
  <c r="J107" i="7" s="1"/>
  <c r="F706" i="9"/>
  <c r="F705" i="9" s="1"/>
  <c r="F704" i="9" s="1"/>
  <c r="F326" i="7"/>
  <c r="F325" i="7" s="1"/>
  <c r="F760" i="7"/>
  <c r="F759" i="7" s="1"/>
  <c r="F758" i="7" s="1"/>
  <c r="F757" i="7" s="1"/>
  <c r="AF38" i="2"/>
  <c r="AF37" i="2" s="1"/>
  <c r="F686" i="9"/>
  <c r="F685" i="9" s="1"/>
  <c r="F684" i="9" s="1"/>
  <c r="J145" i="7"/>
  <c r="K146" i="7"/>
  <c r="K145" i="7" s="1"/>
  <c r="F412" i="9"/>
  <c r="J128" i="7"/>
  <c r="J127" i="7" s="1"/>
  <c r="F719" i="9"/>
  <c r="F718" i="9" s="1"/>
  <c r="F717" i="9" s="1"/>
  <c r="F713" i="9" s="1"/>
  <c r="J73" i="7"/>
  <c r="J72" i="7" s="1"/>
  <c r="F446" i="9"/>
  <c r="F445" i="9" s="1"/>
  <c r="F444" i="9" s="1"/>
  <c r="J788" i="7"/>
  <c r="AF250" i="2"/>
  <c r="AF249" i="2" s="1"/>
  <c r="AF248" i="2" s="1"/>
  <c r="AE250" i="2"/>
  <c r="AE249" i="2" s="1"/>
  <c r="AE248" i="2" s="1"/>
  <c r="J278" i="7"/>
  <c r="F329" i="9"/>
  <c r="F328" i="9" s="1"/>
  <c r="J357" i="7"/>
  <c r="J356" i="7" s="1"/>
  <c r="J355" i="7" s="1"/>
  <c r="F565" i="9"/>
  <c r="F564" i="9" s="1"/>
  <c r="F563" i="9" s="1"/>
  <c r="F562" i="9" s="1"/>
  <c r="J326" i="7"/>
  <c r="F544" i="9"/>
  <c r="F543" i="9" s="1"/>
  <c r="F542" i="9" s="1"/>
  <c r="F541" i="9" s="1"/>
  <c r="F64" i="10"/>
  <c r="F63" i="10" s="1"/>
  <c r="H145" i="7"/>
  <c r="I146" i="7"/>
  <c r="I145" i="7" s="1"/>
  <c r="D412" i="9"/>
  <c r="G146" i="7"/>
  <c r="G145" i="7" s="1"/>
  <c r="AE38" i="2"/>
  <c r="AE37" i="2" s="1"/>
  <c r="AE36" i="2" s="1"/>
  <c r="AE35" i="2" s="1"/>
  <c r="E412" i="9"/>
  <c r="E482" i="9"/>
  <c r="E481" i="9" s="1"/>
  <c r="E476" i="9" s="1"/>
  <c r="F168" i="9"/>
  <c r="F167" i="9" s="1"/>
  <c r="F693" i="9"/>
  <c r="F692" i="9" s="1"/>
  <c r="F691" i="9" s="1"/>
  <c r="F493" i="9"/>
  <c r="F492" i="9" s="1"/>
  <c r="F699" i="9"/>
  <c r="F698" i="9" s="1"/>
  <c r="F697" i="9" s="1"/>
  <c r="J45" i="7"/>
  <c r="J44" i="7" s="1"/>
  <c r="H34" i="7"/>
  <c r="H35" i="7"/>
  <c r="F425" i="9"/>
  <c r="F424" i="9" s="1"/>
  <c r="F423" i="9" s="1"/>
  <c r="J158" i="7"/>
  <c r="J157" i="7" s="1"/>
  <c r="J225" i="7"/>
  <c r="J224" i="7" s="1"/>
  <c r="K226" i="7"/>
  <c r="K225" i="7" s="1"/>
  <c r="K224" i="7" s="1"/>
  <c r="H125" i="7"/>
  <c r="E198" i="9"/>
  <c r="E197" i="9" s="1"/>
  <c r="H739" i="7"/>
  <c r="D51" i="9"/>
  <c r="H689" i="7"/>
  <c r="H688" i="7" s="1"/>
  <c r="D689" i="9"/>
  <c r="D688" i="9" s="1"/>
  <c r="D687" i="9" s="1"/>
  <c r="D630" i="9"/>
  <c r="D629" i="9" s="1"/>
  <c r="D628" i="9" s="1"/>
  <c r="F507" i="7"/>
  <c r="F506" i="7" s="1"/>
  <c r="E183" i="9"/>
  <c r="E182" i="9" s="1"/>
  <c r="E181" i="9" s="1"/>
  <c r="E699" i="9"/>
  <c r="E698" i="9" s="1"/>
  <c r="E697" i="9" s="1"/>
  <c r="F449" i="9"/>
  <c r="F448" i="9" s="1"/>
  <c r="F447" i="9" s="1"/>
  <c r="F16" i="10"/>
  <c r="H20" i="7"/>
  <c r="H19" i="7" s="1"/>
  <c r="H18" i="7" s="1"/>
  <c r="H17" i="7" s="1"/>
  <c r="H16" i="7" s="1"/>
  <c r="AE17" i="2"/>
  <c r="AE16" i="2" s="1"/>
  <c r="AE15" i="2" s="1"/>
  <c r="AE14" i="2" s="1"/>
  <c r="AD17" i="2"/>
  <c r="AD16" i="2" s="1"/>
  <c r="AD15" i="2" s="1"/>
  <c r="AD14" i="2" s="1"/>
  <c r="F20" i="7"/>
  <c r="F19" i="7" s="1"/>
  <c r="F18" i="7" s="1"/>
  <c r="F17" i="7" s="1"/>
  <c r="F16" i="7" s="1"/>
  <c r="F604" i="7" l="1"/>
  <c r="D247" i="9"/>
  <c r="D246" i="9" s="1"/>
  <c r="D245" i="9" s="1"/>
  <c r="D244" i="9" s="1"/>
  <c r="D617" i="9"/>
  <c r="D616" i="9" s="1"/>
  <c r="H499" i="7"/>
  <c r="H498" i="7" s="1"/>
  <c r="J499" i="7"/>
  <c r="J498" i="7" s="1"/>
  <c r="F499" i="7"/>
  <c r="J134" i="7"/>
  <c r="E489" i="9"/>
  <c r="F397" i="9"/>
  <c r="F396" i="9" s="1"/>
  <c r="D167" i="9"/>
  <c r="D166" i="9" s="1"/>
  <c r="D160" i="9" s="1"/>
  <c r="F452" i="7"/>
  <c r="D601" i="9"/>
  <c r="D591" i="9" s="1"/>
  <c r="D590" i="9" s="1"/>
  <c r="F134" i="7"/>
  <c r="E279" i="9"/>
  <c r="E272" i="9" s="1"/>
  <c r="H625" i="7"/>
  <c r="J625" i="7"/>
  <c r="F625" i="7"/>
  <c r="E397" i="9"/>
  <c r="E396" i="9" s="1"/>
  <c r="F185" i="7"/>
  <c r="F489" i="9"/>
  <c r="F483" i="9" s="1"/>
  <c r="F144" i="7"/>
  <c r="F143" i="7" s="1"/>
  <c r="F498" i="7"/>
  <c r="H777" i="7"/>
  <c r="J576" i="7"/>
  <c r="J575" i="7" s="1"/>
  <c r="J777" i="7"/>
  <c r="J756" i="7" s="1"/>
  <c r="J755" i="7" s="1"/>
  <c r="H576" i="7"/>
  <c r="H575" i="7" s="1"/>
  <c r="J325" i="7"/>
  <c r="J324" i="7" s="1"/>
  <c r="J323" i="7" s="1"/>
  <c r="J322" i="7" s="1"/>
  <c r="J314" i="7" s="1"/>
  <c r="F32" i="10" s="1"/>
  <c r="E541" i="9"/>
  <c r="E540" i="9" s="1"/>
  <c r="E539" i="9" s="1"/>
  <c r="I599" i="7"/>
  <c r="I598" i="7" s="1"/>
  <c r="I597" i="7" s="1"/>
  <c r="K599" i="7"/>
  <c r="K598" i="7" s="1"/>
  <c r="K597" i="7" s="1"/>
  <c r="G599" i="7"/>
  <c r="G598" i="7" s="1"/>
  <c r="G597" i="7" s="1"/>
  <c r="H661" i="7"/>
  <c r="J661" i="7"/>
  <c r="D538" i="9"/>
  <c r="F779" i="7"/>
  <c r="F778" i="7" s="1"/>
  <c r="F777" i="7" s="1"/>
  <c r="H767" i="7"/>
  <c r="H766" i="7" s="1"/>
  <c r="F576" i="7"/>
  <c r="F575" i="7" s="1"/>
  <c r="F661" i="7"/>
  <c r="AF36" i="2"/>
  <c r="AF35" i="2" s="1"/>
  <c r="AF21" i="2" s="1"/>
  <c r="F228" i="9"/>
  <c r="F227" i="9" s="1"/>
  <c r="F226" i="9" s="1"/>
  <c r="E228" i="9"/>
  <c r="E227" i="9" s="1"/>
  <c r="E226" i="9" s="1"/>
  <c r="J878" i="7"/>
  <c r="J877" i="7" s="1"/>
  <c r="J876" i="7" s="1"/>
  <c r="J875" i="7" s="1"/>
  <c r="J874" i="7" s="1"/>
  <c r="G574" i="7"/>
  <c r="G573" i="7" s="1"/>
  <c r="I574" i="7"/>
  <c r="I573" i="7" s="1"/>
  <c r="K574" i="7"/>
  <c r="K573" i="7" s="1"/>
  <c r="F330" i="7"/>
  <c r="F329" i="7" s="1"/>
  <c r="F162" i="9"/>
  <c r="F161" i="9" s="1"/>
  <c r="D39" i="9"/>
  <c r="D38" i="9" s="1"/>
  <c r="D37" i="9" s="1"/>
  <c r="D30" i="9" s="1"/>
  <c r="D29" i="9" s="1"/>
  <c r="AE225" i="2"/>
  <c r="F342" i="9"/>
  <c r="F341" i="9" s="1"/>
  <c r="F860" i="7"/>
  <c r="F859" i="7" s="1"/>
  <c r="D342" i="9"/>
  <c r="D341" i="9" s="1"/>
  <c r="D332" i="9" s="1"/>
  <c r="J860" i="7"/>
  <c r="J859" i="7" s="1"/>
  <c r="G860" i="7"/>
  <c r="G859" i="7" s="1"/>
  <c r="G850" i="7" s="1"/>
  <c r="F237" i="7"/>
  <c r="F236" i="7" s="1"/>
  <c r="F235" i="7" s="1"/>
  <c r="D27" i="10" s="1"/>
  <c r="D272" i="9"/>
  <c r="J92" i="7"/>
  <c r="J91" i="7" s="1"/>
  <c r="J90" i="7" s="1"/>
  <c r="J89" i="7" s="1"/>
  <c r="H92" i="7"/>
  <c r="H91" i="7" s="1"/>
  <c r="H90" i="7" s="1"/>
  <c r="H89" i="7" s="1"/>
  <c r="I755" i="7"/>
  <c r="I754" i="7" s="1"/>
  <c r="H237" i="7"/>
  <c r="H236" i="7" s="1"/>
  <c r="H235" i="7" s="1"/>
  <c r="E27" i="10" s="1"/>
  <c r="F682" i="7"/>
  <c r="H472" i="7"/>
  <c r="J448" i="7"/>
  <c r="J447" i="7" s="1"/>
  <c r="J446" i="7" s="1"/>
  <c r="H448" i="7"/>
  <c r="H447" i="7" s="1"/>
  <c r="H446" i="7" s="1"/>
  <c r="F448" i="7"/>
  <c r="J472" i="7"/>
  <c r="E21" i="10"/>
  <c r="AE21" i="2"/>
  <c r="AD21" i="2"/>
  <c r="F327" i="9"/>
  <c r="F326" i="9" s="1"/>
  <c r="F325" i="9" s="1"/>
  <c r="F277" i="7"/>
  <c r="F276" i="7" s="1"/>
  <c r="F275" i="7" s="1"/>
  <c r="E327" i="9"/>
  <c r="E326" i="9" s="1"/>
  <c r="E325" i="9" s="1"/>
  <c r="J277" i="7"/>
  <c r="J276" i="7" s="1"/>
  <c r="J275" i="7" s="1"/>
  <c r="D327" i="9"/>
  <c r="D326" i="9" s="1"/>
  <c r="D325" i="9" s="1"/>
  <c r="AD382" i="2"/>
  <c r="AD381" i="2" s="1"/>
  <c r="AE287" i="2"/>
  <c r="AF287" i="2"/>
  <c r="AD287" i="2"/>
  <c r="F272" i="9"/>
  <c r="H683" i="7"/>
  <c r="H682" i="7" s="1"/>
  <c r="J126" i="7"/>
  <c r="J125" i="7" s="1"/>
  <c r="F21" i="10" s="1"/>
  <c r="E484" i="9"/>
  <c r="F180" i="7"/>
  <c r="J898" i="7"/>
  <c r="J901" i="7"/>
  <c r="J900" i="7" s="1"/>
  <c r="J899" i="7"/>
  <c r="H898" i="7"/>
  <c r="H899" i="7"/>
  <c r="H901" i="7"/>
  <c r="H900" i="7" s="1"/>
  <c r="K850" i="7"/>
  <c r="F250" i="9"/>
  <c r="I308" i="7"/>
  <c r="I307" i="7" s="1"/>
  <c r="I306" i="7" s="1"/>
  <c r="I305" i="7" s="1"/>
  <c r="I304" i="7" s="1"/>
  <c r="G308" i="7"/>
  <c r="G307" i="7" s="1"/>
  <c r="G306" i="7" s="1"/>
  <c r="G305" i="7" s="1"/>
  <c r="G304" i="7" s="1"/>
  <c r="F308" i="7"/>
  <c r="F307" i="7" s="1"/>
  <c r="F306" i="7" s="1"/>
  <c r="F305" i="7" s="1"/>
  <c r="D31" i="10" s="1"/>
  <c r="F529" i="9"/>
  <c r="E561" i="9"/>
  <c r="E560" i="9" s="1"/>
  <c r="I377" i="7"/>
  <c r="K377" i="7"/>
  <c r="D504" i="9"/>
  <c r="AF348" i="2"/>
  <c r="AE348" i="2"/>
  <c r="AD348" i="2"/>
  <c r="J83" i="7"/>
  <c r="J82" i="7" s="1"/>
  <c r="F508" i="9"/>
  <c r="F507" i="9" s="1"/>
  <c r="F506" i="9" s="1"/>
  <c r="F505" i="9" s="1"/>
  <c r="F504" i="9" s="1"/>
  <c r="AD172" i="2"/>
  <c r="AD171" i="2" s="1"/>
  <c r="AE404" i="2"/>
  <c r="AE403" i="2" s="1"/>
  <c r="AF404" i="2"/>
  <c r="AF403" i="2" s="1"/>
  <c r="K223" i="7"/>
  <c r="K222" i="7" s="1"/>
  <c r="K221" i="7" s="1"/>
  <c r="K220" i="7" s="1"/>
  <c r="K219" i="7" s="1"/>
  <c r="J223" i="7"/>
  <c r="J222" i="7" s="1"/>
  <c r="J221" i="7" s="1"/>
  <c r="J220" i="7" s="1"/>
  <c r="J219" i="7" s="1"/>
  <c r="E530" i="9"/>
  <c r="E529" i="9" s="1"/>
  <c r="H223" i="7"/>
  <c r="H222" i="7" s="1"/>
  <c r="H221" i="7" s="1"/>
  <c r="H220" i="7" s="1"/>
  <c r="F223" i="7"/>
  <c r="F222" i="7" s="1"/>
  <c r="F221" i="7" s="1"/>
  <c r="F220" i="7" s="1"/>
  <c r="G223" i="7"/>
  <c r="G222" i="7" s="1"/>
  <c r="G221" i="7" s="1"/>
  <c r="G220" i="7" s="1"/>
  <c r="G219" i="7" s="1"/>
  <c r="D530" i="9"/>
  <c r="D529" i="9" s="1"/>
  <c r="AD210" i="2"/>
  <c r="AD209" i="2" s="1"/>
  <c r="AF210" i="2"/>
  <c r="AF209" i="2" s="1"/>
  <c r="AF172" i="2"/>
  <c r="AF171" i="2" s="1"/>
  <c r="AE172" i="2"/>
  <c r="AE171" i="2" s="1"/>
  <c r="H258" i="7"/>
  <c r="H257" i="7" s="1"/>
  <c r="J236" i="7"/>
  <c r="J235" i="7" s="1"/>
  <c r="F27" i="10" s="1"/>
  <c r="D483" i="9"/>
  <c r="J179" i="7"/>
  <c r="H179" i="7"/>
  <c r="F174" i="9"/>
  <c r="F173" i="9" s="1"/>
  <c r="F172" i="9" s="1"/>
  <c r="E174" i="9"/>
  <c r="E173" i="9" s="1"/>
  <c r="E172" i="9" s="1"/>
  <c r="F56" i="10"/>
  <c r="D683" i="9"/>
  <c r="F450" i="9"/>
  <c r="E450" i="9"/>
  <c r="E268" i="9"/>
  <c r="F268" i="9"/>
  <c r="D268" i="9"/>
  <c r="H262" i="7"/>
  <c r="H261" i="7" s="1"/>
  <c r="F262" i="7"/>
  <c r="F261" i="7" s="1"/>
  <c r="AF372" i="2"/>
  <c r="AF371" i="2" s="1"/>
  <c r="AF370" i="2" s="1"/>
  <c r="AF368" i="2" s="1"/>
  <c r="AE372" i="2"/>
  <c r="AE371" i="2" s="1"/>
  <c r="AE370" i="2" s="1"/>
  <c r="K735" i="7"/>
  <c r="K734" i="7" s="1"/>
  <c r="K717" i="7" s="1"/>
  <c r="D450" i="9"/>
  <c r="G735" i="7"/>
  <c r="G734" i="7" s="1"/>
  <c r="G717" i="7" s="1"/>
  <c r="D193" i="9"/>
  <c r="I735" i="7"/>
  <c r="I734" i="7" s="1"/>
  <c r="I717" i="7" s="1"/>
  <c r="H107" i="7"/>
  <c r="H106" i="7" s="1"/>
  <c r="D436" i="9"/>
  <c r="H721" i="7"/>
  <c r="H720" i="7" s="1"/>
  <c r="H719" i="7" s="1"/>
  <c r="H718" i="7" s="1"/>
  <c r="K677" i="7"/>
  <c r="K676" i="7" s="1"/>
  <c r="K675" i="7" s="1"/>
  <c r="K660" i="7" s="1"/>
  <c r="I677" i="7"/>
  <c r="I676" i="7" s="1"/>
  <c r="G677" i="7"/>
  <c r="G676" i="7" s="1"/>
  <c r="G675" i="7" s="1"/>
  <c r="G660" i="7" s="1"/>
  <c r="AF225" i="2"/>
  <c r="AD225" i="2"/>
  <c r="D400" i="9"/>
  <c r="D397" i="9" s="1"/>
  <c r="H354" i="7"/>
  <c r="H353" i="7" s="1"/>
  <c r="H352" i="7" s="1"/>
  <c r="E34" i="10" s="1"/>
  <c r="F354" i="7"/>
  <c r="F353" i="7" s="1"/>
  <c r="F352" i="7" s="1"/>
  <c r="D34" i="10" s="1"/>
  <c r="J354" i="7"/>
  <c r="J353" i="7" s="1"/>
  <c r="J352" i="7" s="1"/>
  <c r="F34" i="10" s="1"/>
  <c r="J254" i="7"/>
  <c r="J253" i="7" s="1"/>
  <c r="F254" i="7"/>
  <c r="F253" i="7" s="1"/>
  <c r="H254" i="7"/>
  <c r="H253" i="7" s="1"/>
  <c r="E311" i="9"/>
  <c r="J694" i="7"/>
  <c r="H197" i="7"/>
  <c r="H196" i="7" s="1"/>
  <c r="I197" i="7"/>
  <c r="I196" i="7" s="1"/>
  <c r="H746" i="7"/>
  <c r="H745" i="7" s="1"/>
  <c r="F542" i="7"/>
  <c r="F541" i="7" s="1"/>
  <c r="E664" i="9"/>
  <c r="E663" i="9" s="1"/>
  <c r="E662" i="9" s="1"/>
  <c r="G472" i="7"/>
  <c r="G471" i="7" s="1"/>
  <c r="G445" i="7" s="1"/>
  <c r="F540" i="9"/>
  <c r="F539" i="9" s="1"/>
  <c r="F125" i="7"/>
  <c r="E504" i="9"/>
  <c r="E42" i="9"/>
  <c r="E41" i="9" s="1"/>
  <c r="E40" i="9" s="1"/>
  <c r="F878" i="7"/>
  <c r="F877" i="7" s="1"/>
  <c r="F876" i="7" s="1"/>
  <c r="E514" i="9"/>
  <c r="E513" i="9" s="1"/>
  <c r="H866" i="7"/>
  <c r="H865" i="7" s="1"/>
  <c r="H864" i="7" s="1"/>
  <c r="E59" i="10" s="1"/>
  <c r="F739" i="7"/>
  <c r="F738" i="7" s="1"/>
  <c r="F737" i="7" s="1"/>
  <c r="E603" i="9"/>
  <c r="E602" i="9" s="1"/>
  <c r="E601" i="9" s="1"/>
  <c r="E591" i="9" s="1"/>
  <c r="AD368" i="2"/>
  <c r="J866" i="7"/>
  <c r="J865" i="7" s="1"/>
  <c r="J864" i="7" s="1"/>
  <c r="F59" i="10" s="1"/>
  <c r="F514" i="9"/>
  <c r="F513" i="9" s="1"/>
  <c r="J752" i="7"/>
  <c r="J751" i="7" s="1"/>
  <c r="J750" i="7" s="1"/>
  <c r="F64" i="7"/>
  <c r="F63" i="7" s="1"/>
  <c r="F62" i="7" s="1"/>
  <c r="F61" i="7" s="1"/>
  <c r="F47" i="7" s="1"/>
  <c r="F775" i="7"/>
  <c r="F774" i="7" s="1"/>
  <c r="F767" i="7" s="1"/>
  <c r="F766" i="7" s="1"/>
  <c r="F702" i="7"/>
  <c r="F311" i="9"/>
  <c r="E166" i="9"/>
  <c r="E160" i="9" s="1"/>
  <c r="J370" i="7"/>
  <c r="J369" i="7" s="1"/>
  <c r="J368" i="7" s="1"/>
  <c r="J367" i="7" s="1"/>
  <c r="F664" i="9"/>
  <c r="F663" i="9" s="1"/>
  <c r="F662" i="9" s="1"/>
  <c r="K51" i="7"/>
  <c r="K50" i="7" s="1"/>
  <c r="K49" i="7" s="1"/>
  <c r="K48" i="7" s="1"/>
  <c r="K47" i="7" s="1"/>
  <c r="H687" i="7"/>
  <c r="F202" i="9"/>
  <c r="F201" i="9" s="1"/>
  <c r="F196" i="9" s="1"/>
  <c r="F205" i="9"/>
  <c r="F204" i="9" s="1"/>
  <c r="F203" i="9" s="1"/>
  <c r="J746" i="7"/>
  <c r="J745" i="7" s="1"/>
  <c r="H857" i="7"/>
  <c r="H856" i="7" s="1"/>
  <c r="H852" i="7" s="1"/>
  <c r="E340" i="9"/>
  <c r="E339" i="9" s="1"/>
  <c r="E338" i="9" s="1"/>
  <c r="E334" i="9" s="1"/>
  <c r="H878" i="7"/>
  <c r="H877" i="7" s="1"/>
  <c r="E436" i="9"/>
  <c r="F612" i="9"/>
  <c r="F611" i="9" s="1"/>
  <c r="F610" i="9" s="1"/>
  <c r="F606" i="9" s="1"/>
  <c r="F150" i="7"/>
  <c r="F149" i="7" s="1"/>
  <c r="F484" i="7"/>
  <c r="F483" i="7" s="1"/>
  <c r="F473" i="7" s="1"/>
  <c r="F472" i="7" s="1"/>
  <c r="F370" i="7"/>
  <c r="F369" i="7" s="1"/>
  <c r="F368" i="7" s="1"/>
  <c r="F367" i="7" s="1"/>
  <c r="H542" i="7"/>
  <c r="H541" i="7" s="1"/>
  <c r="H738" i="7"/>
  <c r="J150" i="7"/>
  <c r="J149" i="7" s="1"/>
  <c r="E35" i="10"/>
  <c r="F866" i="7"/>
  <c r="F865" i="7" s="1"/>
  <c r="F864" i="7" s="1"/>
  <c r="D59" i="10" s="1"/>
  <c r="E30" i="9"/>
  <c r="E29" i="9" s="1"/>
  <c r="F851" i="7"/>
  <c r="F324" i="7"/>
  <c r="F323" i="7" s="1"/>
  <c r="F322" i="7" s="1"/>
  <c r="F314" i="7" s="1"/>
  <c r="F687" i="7"/>
  <c r="D583" i="9"/>
  <c r="E196" i="9"/>
  <c r="E195" i="9" s="1"/>
  <c r="E194" i="9" s="1"/>
  <c r="F721" i="7"/>
  <c r="F720" i="7" s="1"/>
  <c r="F719" i="7" s="1"/>
  <c r="F718" i="7" s="1"/>
  <c r="F92" i="9"/>
  <c r="F81" i="9" s="1"/>
  <c r="F80" i="9" s="1"/>
  <c r="I51" i="7"/>
  <c r="I50" i="7" s="1"/>
  <c r="I49" i="7" s="1"/>
  <c r="I48" i="7" s="1"/>
  <c r="I47" i="7" s="1"/>
  <c r="J721" i="7"/>
  <c r="J720" i="7" s="1"/>
  <c r="J719" i="7" s="1"/>
  <c r="J718" i="7" s="1"/>
  <c r="H600" i="7"/>
  <c r="G51" i="7"/>
  <c r="G50" i="7" s="1"/>
  <c r="G49" i="7" s="1"/>
  <c r="G48" i="7" s="1"/>
  <c r="G47" i="7" s="1"/>
  <c r="K840" i="7"/>
  <c r="K839" i="7" s="1"/>
  <c r="K838" i="7" s="1"/>
  <c r="F291" i="7"/>
  <c r="F290" i="7" s="1"/>
  <c r="J600" i="7"/>
  <c r="J840" i="7"/>
  <c r="J839" i="7" s="1"/>
  <c r="J838" i="7" s="1"/>
  <c r="F133" i="7"/>
  <c r="F92" i="7"/>
  <c r="F91" i="7" s="1"/>
  <c r="F90" i="7" s="1"/>
  <c r="H144" i="7"/>
  <c r="H143" i="7" s="1"/>
  <c r="F30" i="9"/>
  <c r="F29" i="9" s="1"/>
  <c r="F107" i="7"/>
  <c r="E92" i="9"/>
  <c r="E81" i="9" s="1"/>
  <c r="E80" i="9" s="1"/>
  <c r="E416" i="9"/>
  <c r="E415" i="9" s="1"/>
  <c r="J37" i="7"/>
  <c r="J30" i="7" s="1"/>
  <c r="J23" i="7" s="1"/>
  <c r="G144" i="7"/>
  <c r="G143" i="7" s="1"/>
  <c r="G132" i="7" s="1"/>
  <c r="G131" i="7" s="1"/>
  <c r="G130" i="7" s="1"/>
  <c r="J687" i="7"/>
  <c r="H133" i="7"/>
  <c r="H840" i="7"/>
  <c r="H839" i="7" s="1"/>
  <c r="H838" i="7" s="1"/>
  <c r="J821" i="7"/>
  <c r="D42" i="9"/>
  <c r="D41" i="9" s="1"/>
  <c r="D40" i="9" s="1"/>
  <c r="J51" i="7"/>
  <c r="J50" i="7" s="1"/>
  <c r="J49" i="7" s="1"/>
  <c r="J48" i="7" s="1"/>
  <c r="G846" i="7"/>
  <c r="G840" i="7" s="1"/>
  <c r="G839" i="7" s="1"/>
  <c r="G838" i="7" s="1"/>
  <c r="J133" i="7"/>
  <c r="E700" i="9"/>
  <c r="AE212" i="2"/>
  <c r="AE211" i="2" s="1"/>
  <c r="I144" i="7"/>
  <c r="I143" i="7" s="1"/>
  <c r="I132" i="7" s="1"/>
  <c r="I131" i="7" s="1"/>
  <c r="D416" i="9"/>
  <c r="D415" i="9" s="1"/>
  <c r="J542" i="7"/>
  <c r="J541" i="7" s="1"/>
  <c r="J106" i="7"/>
  <c r="F416" i="9"/>
  <c r="F415" i="9" s="1"/>
  <c r="H64" i="7"/>
  <c r="H63" i="7" s="1"/>
  <c r="H62" i="7" s="1"/>
  <c r="H61" i="7" s="1"/>
  <c r="F260" i="9"/>
  <c r="J144" i="7"/>
  <c r="J143" i="7" s="1"/>
  <c r="D92" i="9"/>
  <c r="D81" i="9" s="1"/>
  <c r="D80" i="9" s="1"/>
  <c r="F37" i="7"/>
  <c r="F30" i="7" s="1"/>
  <c r="F23" i="7" s="1"/>
  <c r="F700" i="9"/>
  <c r="F208" i="9"/>
  <c r="F207" i="9" s="1"/>
  <c r="F206" i="9" s="1"/>
  <c r="D208" i="9"/>
  <c r="D207" i="9" s="1"/>
  <c r="D206" i="9" s="1"/>
  <c r="E690" i="9"/>
  <c r="E208" i="9"/>
  <c r="E207" i="9" s="1"/>
  <c r="E206" i="9" s="1"/>
  <c r="J738" i="7"/>
  <c r="J64" i="7"/>
  <c r="J63" i="7" s="1"/>
  <c r="J62" i="7" s="1"/>
  <c r="J61" i="7" s="1"/>
  <c r="F840" i="7"/>
  <c r="F839" i="7" s="1"/>
  <c r="F838" i="7" s="1"/>
  <c r="F166" i="9"/>
  <c r="J257" i="7"/>
  <c r="J291" i="7"/>
  <c r="J290" i="7" s="1"/>
  <c r="H51" i="7"/>
  <c r="H50" i="7" s="1"/>
  <c r="H49" i="7" s="1"/>
  <c r="H48" i="7" s="1"/>
  <c r="F42" i="9"/>
  <c r="F41" i="9" s="1"/>
  <c r="F40" i="9" s="1"/>
  <c r="F257" i="7"/>
  <c r="H30" i="7"/>
  <c r="H23" i="7" s="1"/>
  <c r="D213" i="9"/>
  <c r="E250" i="9"/>
  <c r="K144" i="7"/>
  <c r="K143" i="7" s="1"/>
  <c r="K132" i="7" s="1"/>
  <c r="K131" i="7" s="1"/>
  <c r="K130" i="7" s="1"/>
  <c r="F436" i="9"/>
  <c r="F820" i="7"/>
  <c r="F819" i="7" s="1"/>
  <c r="F821" i="7"/>
  <c r="I846" i="7"/>
  <c r="I840" i="7" s="1"/>
  <c r="I839" i="7" s="1"/>
  <c r="I838" i="7" s="1"/>
  <c r="E32" i="10"/>
  <c r="F690" i="9"/>
  <c r="F410" i="9"/>
  <c r="F409" i="9" s="1"/>
  <c r="F411" i="9"/>
  <c r="E410" i="9"/>
  <c r="E409" i="9" s="1"/>
  <c r="E411" i="9"/>
  <c r="D410" i="9"/>
  <c r="D409" i="9" s="1"/>
  <c r="D411" i="9"/>
  <c r="J857" i="7"/>
  <c r="J856" i="7" s="1"/>
  <c r="J852" i="7" s="1"/>
  <c r="F340" i="9"/>
  <c r="F339" i="9" s="1"/>
  <c r="F338" i="9" s="1"/>
  <c r="F334" i="9" s="1"/>
  <c r="E16" i="10"/>
  <c r="D16" i="10"/>
  <c r="F247" i="9" l="1"/>
  <c r="F246" i="9" s="1"/>
  <c r="F245" i="9" s="1"/>
  <c r="F244" i="9" s="1"/>
  <c r="E247" i="9"/>
  <c r="E246" i="9" s="1"/>
  <c r="E245" i="9" s="1"/>
  <c r="E244" i="9" s="1"/>
  <c r="H599" i="7"/>
  <c r="D432" i="9"/>
  <c r="D431" i="9" s="1"/>
  <c r="F432" i="9"/>
  <c r="F431" i="9" s="1"/>
  <c r="D503" i="9"/>
  <c r="J599" i="7"/>
  <c r="E538" i="9"/>
  <c r="H756" i="7"/>
  <c r="H755" i="7" s="1"/>
  <c r="E52" i="10" s="1"/>
  <c r="E51" i="10" s="1"/>
  <c r="E79" i="9"/>
  <c r="F600" i="7"/>
  <c r="F599" i="7" s="1"/>
  <c r="F736" i="7"/>
  <c r="F735" i="7" s="1"/>
  <c r="F734" i="7" s="1"/>
  <c r="D79" i="9"/>
  <c r="AD332" i="2"/>
  <c r="F538" i="9"/>
  <c r="H598" i="7"/>
  <c r="H597" i="7" s="1"/>
  <c r="E503" i="9"/>
  <c r="F503" i="9"/>
  <c r="AD89" i="2"/>
  <c r="AD73" i="2" s="1"/>
  <c r="AD72" i="2" s="1"/>
  <c r="AF89" i="2"/>
  <c r="AF73" i="2" s="1"/>
  <c r="AF72" i="2" s="1"/>
  <c r="AF13" i="2" s="1"/>
  <c r="AE89" i="2"/>
  <c r="AE73" i="2" s="1"/>
  <c r="AE72" i="2" s="1"/>
  <c r="AE13" i="2" s="1"/>
  <c r="H876" i="7"/>
  <c r="H875" i="7" s="1"/>
  <c r="H874" i="7" s="1"/>
  <c r="J471" i="7"/>
  <c r="J445" i="7" s="1"/>
  <c r="H471" i="7"/>
  <c r="H445" i="7" s="1"/>
  <c r="D396" i="9"/>
  <c r="D395" i="9" s="1"/>
  <c r="F447" i="7"/>
  <c r="F446" i="7" s="1"/>
  <c r="AE382" i="2"/>
  <c r="AE381" i="2" s="1"/>
  <c r="J47" i="7"/>
  <c r="F18" i="10" s="1"/>
  <c r="H47" i="7"/>
  <c r="E18" i="10" s="1"/>
  <c r="H88" i="7"/>
  <c r="E19" i="10" s="1"/>
  <c r="J88" i="7"/>
  <c r="F19" i="10" s="1"/>
  <c r="H252" i="7"/>
  <c r="H251" i="7" s="1"/>
  <c r="H250" i="7" s="1"/>
  <c r="F252" i="7"/>
  <c r="J252" i="7"/>
  <c r="J251" i="7" s="1"/>
  <c r="J250" i="7" s="1"/>
  <c r="F19" i="9"/>
  <c r="F756" i="7"/>
  <c r="F755" i="7" s="1"/>
  <c r="E19" i="9"/>
  <c r="D19" i="9"/>
  <c r="F160" i="9"/>
  <c r="E590" i="9"/>
  <c r="AF382" i="2"/>
  <c r="AF381" i="2" s="1"/>
  <c r="AF332" i="2"/>
  <c r="J693" i="7"/>
  <c r="F49" i="10" s="1"/>
  <c r="H693" i="7"/>
  <c r="E49" i="10" s="1"/>
  <c r="H897" i="7"/>
  <c r="H896" i="7"/>
  <c r="I130" i="7"/>
  <c r="J897" i="7"/>
  <c r="J896" i="7"/>
  <c r="F89" i="7"/>
  <c r="I850" i="7"/>
  <c r="I837" i="7" s="1"/>
  <c r="I818" i="7" s="1"/>
  <c r="F850" i="7"/>
  <c r="F837" i="7" s="1"/>
  <c r="F818" i="7" s="1"/>
  <c r="K15" i="7"/>
  <c r="F875" i="7"/>
  <c r="F874" i="7" s="1"/>
  <c r="F574" i="7"/>
  <c r="F573" i="7" s="1"/>
  <c r="J574" i="7"/>
  <c r="J573" i="7" s="1"/>
  <c r="H574" i="7"/>
  <c r="H573" i="7" s="1"/>
  <c r="D21" i="10"/>
  <c r="D17" i="10"/>
  <c r="E17" i="10"/>
  <c r="D259" i="9"/>
  <c r="D258" i="9" s="1"/>
  <c r="F259" i="9"/>
  <c r="F258" i="9" s="1"/>
  <c r="D589" i="9"/>
  <c r="F590" i="9"/>
  <c r="F701" i="7"/>
  <c r="G15" i="7"/>
  <c r="F561" i="9"/>
  <c r="F560" i="9" s="1"/>
  <c r="F749" i="7"/>
  <c r="F748" i="7" s="1"/>
  <c r="H749" i="7"/>
  <c r="H748" i="7" s="1"/>
  <c r="J749" i="7"/>
  <c r="J748" i="7" s="1"/>
  <c r="F289" i="7"/>
  <c r="F288" i="7" s="1"/>
  <c r="J289" i="7"/>
  <c r="D187" i="9"/>
  <c r="H219" i="7"/>
  <c r="E24" i="10"/>
  <c r="E23" i="10" s="1"/>
  <c r="D24" i="10"/>
  <c r="D23" i="10" s="1"/>
  <c r="F219" i="7"/>
  <c r="F24" i="10"/>
  <c r="F23" i="10" s="1"/>
  <c r="AE210" i="2"/>
  <c r="H161" i="7"/>
  <c r="H160" i="7" s="1"/>
  <c r="J161" i="7"/>
  <c r="J160" i="7" s="1"/>
  <c r="AF155" i="2"/>
  <c r="G837" i="7"/>
  <c r="G818" i="7" s="1"/>
  <c r="K837" i="7"/>
  <c r="K818" i="7" s="1"/>
  <c r="E483" i="9"/>
  <c r="E432" i="9" s="1"/>
  <c r="F179" i="7"/>
  <c r="F161" i="7" s="1"/>
  <c r="F160" i="7" s="1"/>
  <c r="AD380" i="2"/>
  <c r="F681" i="7"/>
  <c r="F675" i="7" s="1"/>
  <c r="F660" i="7" s="1"/>
  <c r="J681" i="7"/>
  <c r="J675" i="7" s="1"/>
  <c r="J660" i="7" s="1"/>
  <c r="H681" i="7"/>
  <c r="H675" i="7" s="1"/>
  <c r="H660" i="7" s="1"/>
  <c r="D56" i="10"/>
  <c r="F683" i="9"/>
  <c r="E683" i="9"/>
  <c r="AF369" i="2"/>
  <c r="AE369" i="2"/>
  <c r="AE368" i="2"/>
  <c r="AE332" i="2" s="1"/>
  <c r="I675" i="7"/>
  <c r="I660" i="7" s="1"/>
  <c r="E193" i="9"/>
  <c r="E187" i="9" s="1"/>
  <c r="J540" i="7"/>
  <c r="J532" i="7" s="1"/>
  <c r="J525" i="7" s="1"/>
  <c r="H540" i="7"/>
  <c r="H532" i="7" s="1"/>
  <c r="H525" i="7" s="1"/>
  <c r="F540" i="7"/>
  <c r="D32" i="10"/>
  <c r="F333" i="9"/>
  <c r="F332" i="9" s="1"/>
  <c r="E333" i="9"/>
  <c r="E332" i="9" s="1"/>
  <c r="J851" i="7"/>
  <c r="J850" i="7" s="1"/>
  <c r="J837" i="7" s="1"/>
  <c r="H851" i="7"/>
  <c r="H850" i="7" s="1"/>
  <c r="H329" i="7"/>
  <c r="D561" i="9"/>
  <c r="D560" i="9" s="1"/>
  <c r="D35" i="10"/>
  <c r="H737" i="7"/>
  <c r="AD155" i="2"/>
  <c r="E395" i="9"/>
  <c r="F395" i="9"/>
  <c r="D64" i="10"/>
  <c r="D63" i="10" s="1"/>
  <c r="H132" i="7"/>
  <c r="F132" i="7"/>
  <c r="F195" i="9"/>
  <c r="F194" i="9" s="1"/>
  <c r="J737" i="7"/>
  <c r="J132" i="7"/>
  <c r="H291" i="7"/>
  <c r="H290" i="7" s="1"/>
  <c r="E260" i="9"/>
  <c r="F106" i="7"/>
  <c r="F61" i="10"/>
  <c r="F60" i="10" s="1"/>
  <c r="AE209" i="2" l="1"/>
  <c r="AE155" i="2" s="1"/>
  <c r="J288" i="7"/>
  <c r="F29" i="10" s="1"/>
  <c r="F700" i="7"/>
  <c r="F693" i="7" s="1"/>
  <c r="D49" i="10" s="1"/>
  <c r="F79" i="9"/>
  <c r="J736" i="7"/>
  <c r="J735" i="7" s="1"/>
  <c r="J734" i="7" s="1"/>
  <c r="J717" i="7" s="1"/>
  <c r="H736" i="7"/>
  <c r="H735" i="7" s="1"/>
  <c r="H734" i="7" s="1"/>
  <c r="H717" i="7" s="1"/>
  <c r="AD13" i="2"/>
  <c r="F251" i="7"/>
  <c r="F250" i="7" s="1"/>
  <c r="D29" i="10"/>
  <c r="F471" i="7"/>
  <c r="F445" i="7" s="1"/>
  <c r="D39" i="10" s="1"/>
  <c r="F88" i="7"/>
  <c r="D19" i="10" s="1"/>
  <c r="F598" i="7"/>
  <c r="F597" i="7" s="1"/>
  <c r="AF380" i="2"/>
  <c r="G377" i="7"/>
  <c r="G572" i="7"/>
  <c r="K572" i="7"/>
  <c r="E431" i="9"/>
  <c r="E394" i="9" s="1"/>
  <c r="J754" i="7"/>
  <c r="I15" i="7"/>
  <c r="F717" i="7"/>
  <c r="AE380" i="2"/>
  <c r="E28" i="10"/>
  <c r="E259" i="9"/>
  <c r="E258" i="9" s="1"/>
  <c r="D37" i="10"/>
  <c r="H289" i="7"/>
  <c r="H288" i="7" s="1"/>
  <c r="J131" i="7"/>
  <c r="J130" i="7" s="1"/>
  <c r="H131" i="7"/>
  <c r="H130" i="7" s="1"/>
  <c r="H15" i="7" s="1"/>
  <c r="F131" i="7"/>
  <c r="F130" i="7" s="1"/>
  <c r="H837" i="7"/>
  <c r="H818" i="7" s="1"/>
  <c r="J818" i="7"/>
  <c r="F532" i="7"/>
  <c r="F525" i="7" s="1"/>
  <c r="F754" i="7"/>
  <c r="D394" i="9"/>
  <c r="D682" i="9" s="1"/>
  <c r="F394" i="9"/>
  <c r="E48" i="10"/>
  <c r="AF274" i="2"/>
  <c r="AF273" i="2" s="1"/>
  <c r="J400" i="7"/>
  <c r="AE274" i="2"/>
  <c r="AE273" i="2" s="1"/>
  <c r="H400" i="7"/>
  <c r="AD274" i="2"/>
  <c r="AD273" i="2" s="1"/>
  <c r="F400" i="7"/>
  <c r="D58" i="10"/>
  <c r="D55" i="10" s="1"/>
  <c r="F58" i="10"/>
  <c r="F55" i="10" s="1"/>
  <c r="F17" i="10"/>
  <c r="F46" i="10"/>
  <c r="E46" i="10"/>
  <c r="I572" i="7"/>
  <c r="F193" i="9"/>
  <c r="F187" i="9" s="1"/>
  <c r="E40" i="10"/>
  <c r="D18" i="10"/>
  <c r="D46" i="10"/>
  <c r="F40" i="10"/>
  <c r="E33" i="10"/>
  <c r="E30" i="10" s="1"/>
  <c r="H304" i="7"/>
  <c r="E61" i="10"/>
  <c r="E60" i="10" s="1"/>
  <c r="D33" i="10"/>
  <c r="D30" i="10" s="1"/>
  <c r="D48" i="10"/>
  <c r="F48" i="10"/>
  <c r="F35" i="10"/>
  <c r="H754" i="7"/>
  <c r="I904" i="7" l="1"/>
  <c r="AF12" i="2"/>
  <c r="AE12" i="2"/>
  <c r="G904" i="7"/>
  <c r="AD12" i="2"/>
  <c r="AD1037" i="2" s="1"/>
  <c r="D50" i="10"/>
  <c r="F234" i="7"/>
  <c r="D28" i="10"/>
  <c r="D26" i="10" s="1"/>
  <c r="J598" i="7"/>
  <c r="J597" i="7" s="1"/>
  <c r="E47" i="10"/>
  <c r="F52" i="10"/>
  <c r="F51" i="10" s="1"/>
  <c r="D40" i="10"/>
  <c r="F50" i="10"/>
  <c r="AF832" i="2"/>
  <c r="AF831" i="2" s="1"/>
  <c r="J351" i="7"/>
  <c r="J350" i="7" s="1"/>
  <c r="E58" i="10"/>
  <c r="E55" i="10" s="1"/>
  <c r="E29" i="10"/>
  <c r="E26" i="10" s="1"/>
  <c r="H234" i="7"/>
  <c r="D52" i="10"/>
  <c r="D51" i="10" s="1"/>
  <c r="F572" i="7"/>
  <c r="D736" i="9"/>
  <c r="E50" i="10"/>
  <c r="D61" i="10"/>
  <c r="D60" i="10" s="1"/>
  <c r="J234" i="7"/>
  <c r="F28" i="10"/>
  <c r="F26" i="10" s="1"/>
  <c r="F304" i="7"/>
  <c r="D47" i="10"/>
  <c r="AF830" i="2" l="1"/>
  <c r="AF829" i="2" s="1"/>
  <c r="AF828" i="2" s="1"/>
  <c r="D45" i="10"/>
  <c r="F47" i="10"/>
  <c r="F45" i="10" s="1"/>
  <c r="J399" i="7"/>
  <c r="J349" i="7"/>
  <c r="F399" i="7"/>
  <c r="F398" i="7" s="1"/>
  <c r="F397" i="7" s="1"/>
  <c r="H399" i="7"/>
  <c r="H398" i="7" s="1"/>
  <c r="H397" i="7" s="1"/>
  <c r="H572" i="7"/>
  <c r="E45" i="10"/>
  <c r="E22" i="10"/>
  <c r="E15" i="10" s="1"/>
  <c r="D22" i="10"/>
  <c r="D15" i="10" s="1"/>
  <c r="F15" i="7"/>
  <c r="F22" i="10"/>
  <c r="F15" i="10" s="1"/>
  <c r="J15" i="7"/>
  <c r="F639" i="9"/>
  <c r="E37" i="10"/>
  <c r="F37" i="10"/>
  <c r="E638" i="9"/>
  <c r="E637" i="9" s="1"/>
  <c r="E617" i="9" s="1"/>
  <c r="E616" i="9" l="1"/>
  <c r="J348" i="7"/>
  <c r="J347" i="7" s="1"/>
  <c r="J346" i="7" s="1"/>
  <c r="J329" i="7" s="1"/>
  <c r="AF816" i="2"/>
  <c r="AF806" i="2" s="1"/>
  <c r="J398" i="7"/>
  <c r="J397" i="7" s="1"/>
  <c r="J572" i="7"/>
  <c r="AE884" i="2"/>
  <c r="AE883" i="2" s="1"/>
  <c r="AE834" i="2" s="1"/>
  <c r="F638" i="9"/>
  <c r="F637" i="9" s="1"/>
  <c r="F617" i="9" s="1"/>
  <c r="E589" i="9" l="1"/>
  <c r="E682" i="9" s="1"/>
  <c r="E736" i="9" s="1"/>
  <c r="F616" i="9"/>
  <c r="AE798" i="2"/>
  <c r="AE1037" i="2" s="1"/>
  <c r="F38" i="10"/>
  <c r="E38" i="10"/>
  <c r="F377" i="7"/>
  <c r="F904" i="7" s="1"/>
  <c r="D38" i="10"/>
  <c r="D36" i="10" s="1"/>
  <c r="D65" i="10" s="1"/>
  <c r="F33" i="10"/>
  <c r="F30" i="10" s="1"/>
  <c r="J304" i="7"/>
  <c r="AF884" i="2"/>
  <c r="AF883" i="2" s="1"/>
  <c r="AF834" i="2" s="1"/>
  <c r="E39" i="10"/>
  <c r="H377" i="7"/>
  <c r="H904" i="7" s="1"/>
  <c r="F589" i="9" l="1"/>
  <c r="F682" i="9" s="1"/>
  <c r="F736" i="9" s="1"/>
  <c r="AF798" i="2"/>
  <c r="AF1037" i="2" s="1"/>
  <c r="E36" i="10"/>
  <c r="E65" i="10" s="1"/>
  <c r="J377" i="7"/>
  <c r="J904" i="7" s="1"/>
  <c r="F39" i="10"/>
  <c r="F36" i="10" s="1"/>
  <c r="F65" i="10" s="1"/>
  <c r="K308" i="7" l="1"/>
  <c r="K307" i="7" s="1"/>
  <c r="K306" i="7" s="1"/>
  <c r="K305" i="7" s="1"/>
  <c r="K304" i="7" s="1"/>
  <c r="K904" i="7" s="1"/>
</calcChain>
</file>

<file path=xl/sharedStrings.xml><?xml version="1.0" encoding="utf-8"?>
<sst xmlns="http://schemas.openxmlformats.org/spreadsheetml/2006/main" count="9779" uniqueCount="848">
  <si>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</si>
  <si>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</si>
  <si>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</si>
  <si>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</si>
  <si>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</si>
  <si>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</si>
  <si>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</si>
  <si>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</si>
  <si>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</si>
  <si>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</si>
  <si>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</si>
  <si>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</si>
  <si>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</si>
  <si>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</si>
  <si>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</si>
  <si>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</si>
  <si>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</si>
  <si>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</si>
  <si>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</si>
  <si>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</si>
  <si>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</si>
  <si>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</si>
  <si>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</si>
  <si>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</si>
  <si>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</si>
  <si>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</si>
  <si>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</si>
  <si>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</si>
  <si>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</si>
  <si>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</si>
  <si>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</si>
  <si>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</si>
  <si>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</si>
  <si>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</si>
  <si>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</si>
  <si>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</si>
  <si>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</si>
  <si>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</si>
  <si>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</si>
  <si>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</si>
  <si>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</si>
  <si>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</si>
  <si>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</si>
  <si>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</si>
  <si>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</si>
  <si>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</si>
  <si>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</si>
  <si>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</si>
  <si>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</si>
  <si>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</si>
  <si>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</si>
  <si>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</si>
  <si>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</si>
  <si>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</si>
  <si>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</si>
  <si>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</si>
  <si>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</si>
  <si>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</si>
  <si>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</si>
  <si>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</si>
  <si>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</si>
  <si>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</si>
  <si>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</si>
  <si>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</si>
  <si>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</si>
  <si>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</si>
  <si>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</si>
  <si>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</si>
  <si>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</si>
  <si>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</si>
  <si>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</si>
  <si>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</si>
  <si>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</si>
  <si>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</si>
  <si>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</si>
  <si>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</si>
  <si>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</si>
  <si>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</si>
  <si>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</si>
  <si>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</si>
  <si>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</si>
  <si>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</si>
  <si>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</si>
  <si>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</si>
  <si>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</si>
  <si>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</si>
  <si>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</si>
  <si>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</si>
  <si>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</si>
  <si>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</si>
  <si>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</si>
  <si>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</si>
  <si>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</si>
  <si>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</si>
  <si>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</si>
  <si>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</si>
  <si>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</si>
  <si>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</si>
  <si>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</si>
  <si>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</si>
  <si>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</si>
  <si>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</si>
  <si>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</si>
  <si>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</si>
  <si>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</si>
  <si>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</si>
  <si>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</si>
  <si>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</si>
  <si>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</si>
  <si>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</si>
  <si>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</si>
  <si>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</si>
  <si>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</si>
  <si>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</si>
  <si>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</si>
  <si>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</si>
  <si>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</si>
  <si>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</si>
  <si>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</si>
  <si>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</si>
  <si>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</si>
  <si>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</si>
  <si>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</si>
  <si>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</si>
  <si>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</si>
  <si>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</si>
  <si>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</si>
  <si>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</si>
  <si>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</si>
  <si>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</si>
  <si>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</si>
  <si>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</si>
  <si>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</si>
  <si>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</si>
  <si>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</si>
  <si>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</si>
  <si>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</si>
  <si>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</si>
  <si>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</si>
  <si>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</si>
  <si>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</si>
  <si>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</si>
  <si>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</si>
  <si>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</si>
  <si>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</si>
  <si>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</si>
  <si>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</si>
  <si>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</si>
  <si>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</si>
  <si>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</si>
  <si>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</si>
  <si>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</si>
  <si>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</si>
  <si>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</si>
  <si>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</si>
  <si>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</si>
  <si>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</si>
  <si>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</si>
  <si>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</si>
  <si>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</si>
  <si>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</si>
  <si>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</si>
  <si>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</si>
  <si>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</si>
  <si>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</si>
  <si>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</si>
  <si>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</si>
  <si>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</si>
  <si>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</si>
  <si>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</si>
  <si>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</si>
  <si>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</si>
  <si>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</si>
  <si>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</si>
  <si>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</si>
  <si>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</si>
  <si>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</si>
  <si>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</si>
  <si>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</si>
  <si>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</si>
  <si>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</si>
  <si>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</si>
  <si>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</si>
  <si>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</si>
  <si>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</si>
  <si>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</si>
  <si>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</si>
  <si>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</si>
  <si>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</si>
  <si>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</si>
  <si>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</si>
  <si>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</si>
  <si>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</si>
  <si>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</si>
  <si>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</si>
  <si>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</si>
  <si>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</si>
  <si>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</si>
  <si>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</si>
  <si>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</si>
  <si>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</si>
  <si>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</si>
  <si>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</si>
  <si>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</si>
  <si>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</si>
  <si>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</si>
  <si>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</si>
  <si>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</si>
  <si>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</si>
  <si>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</si>
  <si>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</si>
  <si>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</si>
  <si>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</si>
  <si>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</si>
  <si>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</si>
  <si>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</si>
  <si>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</si>
  <si>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</si>
  <si>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</si>
  <si>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</si>
  <si>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</si>
  <si>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</si>
  <si>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</si>
  <si>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</si>
  <si>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</si>
  <si>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</si>
  <si>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</si>
  <si>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</si>
  <si>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</si>
  <si>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</si>
  <si>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</si>
  <si>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</si>
  <si>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</si>
  <si>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</si>
  <si>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</si>
  <si>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</si>
  <si>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</si>
  <si>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</si>
  <si>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</si>
  <si>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</si>
  <si>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</si>
  <si>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</si>
  <si>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</si>
  <si>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</si>
  <si>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</si>
  <si>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</si>
  <si>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</si>
  <si>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</si>
  <si>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</si>
  <si>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</si>
  <si>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</si>
  <si>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</si>
  <si>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</si>
  <si>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</si>
  <si>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</si>
  <si>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</si>
  <si>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</si>
  <si>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</si>
  <si>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</si>
  <si>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</si>
  <si>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</si>
  <si>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</si>
  <si>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</si>
  <si>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</si>
  <si>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</si>
  <si>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</si>
  <si>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</si>
  <si>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</si>
  <si>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</si>
  <si>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</si>
  <si>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</si>
  <si>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</si>
  <si>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</si>
  <si>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</si>
  <si>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</si>
  <si>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</si>
  <si>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</si>
  <si>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</si>
  <si>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</si>
  <si>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</si>
  <si>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</si>
  <si>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</si>
  <si>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</si>
  <si>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</si>
  <si>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</si>
  <si>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</si>
  <si>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</si>
  <si>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</si>
  <si>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</si>
  <si>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</si>
  <si>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</si>
  <si>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</si>
  <si>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</si>
  <si>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</si>
  <si>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</si>
  <si>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</si>
  <si>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</si>
  <si>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</si>
  <si>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</si>
  <si>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</si>
  <si>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</si>
  <si>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</si>
  <si>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</si>
  <si>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</si>
  <si>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</si>
  <si>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</si>
  <si>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</si>
  <si>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</si>
  <si>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</si>
  <si>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</si>
  <si>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</si>
  <si>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</si>
  <si>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</si>
  <si>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</si>
  <si>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</si>
  <si>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</si>
  <si>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</si>
  <si>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</si>
  <si>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</si>
  <si>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</si>
  <si>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</si>
  <si>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</si>
  <si>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</si>
  <si>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</si>
  <si>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</si>
  <si>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</si>
  <si>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</si>
  <si>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</si>
  <si>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</si>
  <si>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</si>
  <si>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</si>
  <si>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</si>
  <si>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</si>
  <si>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</si>
  <si>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</si>
  <si>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</si>
  <si>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</si>
  <si>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</si>
  <si>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</si>
  <si>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</si>
  <si>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</si>
  <si>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</si>
  <si>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</si>
  <si>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</si>
  <si>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</si>
  <si>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</si>
  <si>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</si>
  <si>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</si>
  <si>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</si>
  <si>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</si>
  <si>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</si>
  <si>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</si>
  <si>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</si>
  <si>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</si>
  <si>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</si>
  <si>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</si>
  <si>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</si>
  <si>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</si>
  <si>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</si>
  <si>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</si>
  <si>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</si>
  <si>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</si>
  <si>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</si>
  <si>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</si>
  <si>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</si>
  <si>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</si>
  <si>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</si>
  <si>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</si>
  <si>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</si>
  <si>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</si>
  <si>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</si>
  <si>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</si>
  <si>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</si>
  <si>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</si>
  <si>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</si>
  <si>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</si>
  <si>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</si>
  <si>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</si>
  <si>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</si>
  <si>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</si>
  <si>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</si>
  <si>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</si>
  <si>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</si>
  <si>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</si>
  <si>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</si>
  <si>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</si>
  <si>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</si>
  <si>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</si>
  <si>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</si>
  <si>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</si>
  <si>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</si>
  <si>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</si>
  <si>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</si>
  <si>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</si>
  <si>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</si>
  <si>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</si>
  <si>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</si>
  <si>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</si>
  <si>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</si>
  <si>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</si>
  <si>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</si>
  <si>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</si>
  <si>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</si>
  <si>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</si>
  <si>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</si>
  <si>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</si>
  <si>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</si>
  <si>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</si>
  <si>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</si>
  <si>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</si>
  <si>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</si>
  <si>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</si>
  <si>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</si>
  <si>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</si>
  <si>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</si>
  <si>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</si>
  <si>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</si>
  <si>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</si>
  <si>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</si>
  <si>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</si>
  <si>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</si>
  <si>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</si>
  <si>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</si>
  <si>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</si>
  <si>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</si>
  <si>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</si>
  <si>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</si>
  <si>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</si>
  <si>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</si>
  <si>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</si>
  <si>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</si>
  <si>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</si>
  <si>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</si>
  <si>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</si>
  <si>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</si>
  <si>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</si>
  <si>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</si>
  <si>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</si>
  <si>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</si>
  <si>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</si>
  <si>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</si>
  <si>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</si>
  <si>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</si>
  <si>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</si>
  <si>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</si>
  <si>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</si>
  <si>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</si>
  <si>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</si>
  <si>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</si>
  <si>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</si>
  <si>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</si>
  <si>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</si>
  <si>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</si>
  <si>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</si>
  <si>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</si>
  <si>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</si>
  <si>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</si>
  <si>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</si>
  <si>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</si>
  <si>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</si>
  <si>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</si>
  <si>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</si>
  <si>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</si>
  <si>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</si>
  <si>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</si>
  <si>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</si>
  <si>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</si>
  <si>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</si>
  <si>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</si>
  <si>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</si>
  <si>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</si>
  <si>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</si>
  <si>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</si>
  <si>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</si>
  <si>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</si>
  <si>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</si>
  <si>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</si>
  <si>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</si>
  <si>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</si>
  <si>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</si>
  <si>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</si>
  <si>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</si>
  <si>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</si>
  <si>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</si>
  <si>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</si>
  <si>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</si>
  <si>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</si>
  <si>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</si>
  <si>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</si>
  <si>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</si>
  <si>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</si>
  <si>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</si>
  <si>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</si>
  <si>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</si>
  <si>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</si>
  <si>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</si>
  <si>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</si>
  <si>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</si>
  <si>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</si>
  <si>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</si>
  <si>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</si>
  <si>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</si>
  <si>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</si>
  <si>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</si>
  <si>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</si>
  <si>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</si>
  <si>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</si>
  <si>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</si>
  <si>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</si>
  <si>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</si>
  <si>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</si>
  <si>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</si>
  <si>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</si>
  <si>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</si>
  <si>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</si>
  <si>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</si>
  <si>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</si>
  <si>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</si>
  <si>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</si>
  <si>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</si>
  <si>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</si>
  <si>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</si>
  <si>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</si>
  <si>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</si>
  <si>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</si>
  <si>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</si>
  <si>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</si>
  <si>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</si>
  <si>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</si>
  <si>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</si>
  <si>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</si>
  <si>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</si>
  <si>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</si>
  <si>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</si>
  <si>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</si>
  <si>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</si>
  <si>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</si>
  <si>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</si>
  <si>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</si>
  <si>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</si>
  <si>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</si>
  <si>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</si>
  <si>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</si>
  <si>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</si>
  <si>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</si>
  <si>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</si>
  <si>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</si>
  <si>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</si>
  <si>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</si>
  <si>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</si>
  <si>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</si>
  <si>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</si>
  <si>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</si>
  <si>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</si>
  <si>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</si>
  <si>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</si>
  <si>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</si>
  <si>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</si>
  <si>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</si>
  <si>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</si>
  <si>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</si>
  <si>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</si>
  <si>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</si>
  <si>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</si>
  <si>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</si>
  <si>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</si>
  <si>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</si>
  <si>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>Подпрограмма "Обеспечение доступности для инвалидов и маломобильных групп населения объектов инфраструктуры и услуг"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</si>
  <si>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</si>
  <si>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</si>
  <si>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04 7 00 00000</t>
  </si>
  <si>
    <t>04 7 01 00000</t>
  </si>
  <si>
    <t>04 7 01 01770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</si>
  <si>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</si>
  <si>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</si>
  <si>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</si>
  <si>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</si>
  <si>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</si>
  <si>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</si>
  <si>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</si>
  <si>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</si>
  <si>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</si>
  <si>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</si>
  <si>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</si>
  <si>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</si>
  <si>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</si>
  <si>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</si>
  <si>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</si>
  <si>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</si>
  <si>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</si>
  <si>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</si>
  <si>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</si>
  <si>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</si>
  <si>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</si>
  <si>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</si>
  <si>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</si>
  <si>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</si>
  <si>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</si>
  <si>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</si>
  <si>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</si>
  <si>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</si>
  <si>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</si>
  <si>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</si>
  <si>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</si>
  <si>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</si>
  <si>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</si>
  <si>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</si>
  <si>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</si>
  <si>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</si>
  <si>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</si>
  <si>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</si>
  <si>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</si>
  <si>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</si>
  <si>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</si>
  <si>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</si>
  <si>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</si>
  <si>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</si>
  <si>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</si>
  <si>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</si>
  <si>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</si>
  <si>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</si>
  <si>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</si>
  <si>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</si>
  <si>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</si>
  <si>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</si>
  <si>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</si>
  <si>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</si>
  <si>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</si>
  <si>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</si>
  <si>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</si>
  <si>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</si>
  <si>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</si>
  <si>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</si>
  <si>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</si>
  <si>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</si>
  <si>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</si>
  <si>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</si>
  <si>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</si>
  <si>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</si>
  <si>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</si>
  <si>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</si>
  <si>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</si>
  <si>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</si>
  <si>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</si>
  <si>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</si>
  <si>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</si>
  <si>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</si>
  <si>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</si>
  <si>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</si>
  <si>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</si>
  <si>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</si>
  <si>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</si>
  <si>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</si>
  <si>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</si>
  <si>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</si>
  <si>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</si>
  <si>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</si>
  <si>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</si>
  <si>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</si>
  <si>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</si>
  <si>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</si>
  <si>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</si>
  <si>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</si>
  <si>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</si>
  <si>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</si>
  <si>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</si>
  <si>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</si>
  <si>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</si>
  <si>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</si>
  <si>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</si>
  <si>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</si>
  <si>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</si>
  <si>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</si>
  <si>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</si>
  <si>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</si>
  <si>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</si>
  <si>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</si>
  <si>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</si>
  <si>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</si>
  <si>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</si>
  <si>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</si>
  <si>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</si>
  <si>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</si>
  <si>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</si>
  <si>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</si>
  <si>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</si>
  <si>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</si>
  <si>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</si>
  <si>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</si>
  <si>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</si>
  <si>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</si>
  <si>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</si>
  <si>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</si>
  <si>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</si>
  <si>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</si>
  <si>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</si>
  <si>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</si>
  <si>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</si>
  <si>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</si>
  <si>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</si>
  <si>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</si>
  <si>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15 2 05 02140</t>
  </si>
  <si>
    <t>15 2 05 00000</t>
  </si>
  <si>
    <t>Основное мероприятие "Цифровая образовательная среда"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</si>
  <si>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</si>
  <si>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</si>
  <si>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</si>
  <si>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</si>
  <si>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</si>
  <si>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</si>
  <si>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</si>
  <si>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</si>
  <si>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</si>
  <si>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</si>
  <si>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</si>
  <si>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</si>
  <si>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</si>
  <si>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</si>
  <si>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</si>
  <si>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</si>
  <si>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</si>
  <si>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</si>
  <si>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</si>
  <si>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</si>
  <si>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</si>
  <si>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</si>
  <si>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</si>
  <si>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</si>
  <si>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</si>
  <si>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</si>
  <si>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</si>
  <si>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</si>
  <si>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</si>
  <si>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</si>
  <si>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</si>
  <si>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</si>
  <si>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</si>
  <si>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</si>
  <si>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</si>
  <si>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</si>
  <si>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</si>
  <si>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</si>
  <si>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</si>
  <si>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</si>
  <si>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</si>
  <si>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</si>
  <si>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</si>
  <si>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</si>
  <si>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</si>
  <si>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</si>
  <si>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</si>
  <si>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</si>
  <si>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</si>
  <si>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</si>
  <si>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</si>
  <si>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</si>
  <si>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</si>
  <si>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</si>
  <si>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</si>
  <si>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</si>
  <si>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</si>
  <si>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</si>
  <si>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</si>
  <si>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</si>
  <si>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</si>
  <si>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</si>
  <si>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</si>
  <si>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</si>
  <si>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</si>
  <si>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</si>
  <si>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</si>
  <si>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</si>
  <si>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</si>
  <si>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</si>
  <si>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</si>
  <si>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</si>
  <si>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</si>
  <si>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</si>
  <si>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</si>
  <si>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</si>
  <si>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</si>
  <si>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</si>
  <si>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</si>
  <si>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</si>
  <si>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</si>
  <si>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</si>
  <si>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</si>
  <si>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</si>
  <si>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</si>
  <si>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</si>
  <si>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</si>
  <si>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</si>
  <si>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</si>
  <si>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</si>
  <si>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</si>
  <si>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</si>
  <si>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</si>
  <si>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</si>
  <si>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</si>
  <si>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</si>
  <si>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</si>
  <si>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</si>
  <si>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</si>
  <si>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</si>
  <si>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</si>
  <si>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</si>
  <si>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</si>
  <si>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</si>
  <si>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</si>
  <si>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</si>
  <si>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</si>
  <si>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</si>
  <si>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</si>
  <si>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</si>
  <si>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</si>
  <si>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</si>
  <si>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</si>
  <si>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</si>
  <si>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</si>
  <si>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</si>
  <si>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Иные расходы (в области национальной безопасности ии  правоохранительной  деятельности)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</si>
  <si>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</si>
  <si>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</si>
  <si>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</si>
  <si>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</si>
  <si>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</si>
  <si>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</si>
  <si>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</si>
  <si>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</si>
  <si>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</si>
  <si>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</si>
  <si>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</si>
  <si>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r>
  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от_________ №</t>
    </r>
    <r>
      <rPr>
        <u/>
        <sz val="12"/>
        <rFont val="Times New Roman"/>
        <family val="1"/>
        <charset val="204"/>
      </rPr>
      <t xml:space="preserve"> ______</t>
    </r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</si>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</sst>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755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3" fillId="3" borderId="20" xfId="0" quotePrefix="1" applyFon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 applyAlignment="1"/>
    <xf numFmtId="0" fontId="11" fillId="3" borderId="0" xfId="0" applyFont="1" applyFill="1"/>
    <xf numFmtId="0" fontId="21" fillId="3" borderId="0" xfId="0" applyFont="1" applyFill="1" applyBorder="1"/>
    <xf numFmtId="164" fontId="11" fillId="3" borderId="0" xfId="0" applyNumberFormat="1" applyFont="1" applyFill="1" applyBorder="1"/>
    <xf numFmtId="0" fontId="0" fillId="3" borderId="0" xfId="0" applyFill="1" applyAlignment="1"/>
    <xf numFmtId="0" fontId="23" fillId="3" borderId="0" xfId="0" applyFont="1" applyFill="1" applyBorder="1"/>
    <xf numFmtId="0" fontId="23" fillId="3" borderId="0" xfId="0" applyFont="1" applyFill="1"/>
    <xf numFmtId="0" fontId="23" fillId="3" borderId="0" xfId="0" applyFont="1" applyFill="1" applyAlignment="1"/>
    <xf numFmtId="0" fontId="23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/>
    <xf numFmtId="164" fontId="4" fillId="3" borderId="0" xfId="0" applyNumberFormat="1" applyFont="1" applyFill="1" applyBorder="1"/>
    <xf numFmtId="164" fontId="14" fillId="3" borderId="0" xfId="0" applyNumberFormat="1" applyFont="1" applyFill="1" applyBorder="1"/>
    <xf numFmtId="165" fontId="20" fillId="3" borderId="0" xfId="0" applyNumberFormat="1" applyFont="1" applyFill="1" applyBorder="1" applyAlignment="1"/>
    <xf numFmtId="0" fontId="14" fillId="3" borderId="0" xfId="0" applyFont="1" applyFill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0" fontId="10" fillId="3" borderId="0" xfId="0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 applyAlignment="1"/>
    <xf numFmtId="0" fontId="10" fillId="3" borderId="0" xfId="0" applyFont="1" applyFill="1" applyBorder="1" applyAlignment="1">
      <alignment wrapText="1"/>
    </xf>
    <xf numFmtId="165" fontId="10" fillId="3" borderId="0" xfId="0" applyNumberFormat="1" applyFont="1" applyFill="1" applyBorder="1"/>
    <xf numFmtId="165" fontId="19" fillId="3" borderId="0" xfId="0" applyNumberFormat="1" applyFont="1" applyFill="1" applyBorder="1"/>
    <xf numFmtId="0" fontId="3" fillId="3" borderId="0" xfId="0" applyFont="1" applyFill="1" applyBorder="1" applyAlignment="1">
      <alignment horizontal="left" wrapText="1" indent="2"/>
    </xf>
    <xf numFmtId="0" fontId="3" fillId="3" borderId="0" xfId="0" applyFont="1" applyFill="1" applyBorder="1" applyAlignment="1">
      <alignment horizontal="left" wrapText="1" indent="3"/>
    </xf>
    <xf numFmtId="0" fontId="3" fillId="3" borderId="0" xfId="0" applyFont="1" applyFill="1" applyBorder="1" applyAlignment="1">
      <alignment horizontal="left" wrapText="1" indent="4"/>
    </xf>
    <xf numFmtId="0" fontId="8" fillId="3" borderId="0" xfId="0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/>
    <xf numFmtId="165" fontId="20" fillId="3" borderId="0" xfId="0" applyNumberFormat="1" applyFont="1" applyFill="1" applyBorder="1"/>
    <xf numFmtId="0" fontId="1" fillId="3" borderId="0" xfId="0" applyFont="1" applyFill="1"/>
    <xf numFmtId="0" fontId="9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0" xfId="0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5" fillId="3" borderId="0" xfId="0" applyFont="1" applyFill="1"/>
    <xf numFmtId="49" fontId="3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3" fillId="3" borderId="0" xfId="0" quotePrefix="1" applyFont="1" applyFill="1" applyBorder="1" applyAlignment="1"/>
    <xf numFmtId="3" fontId="12" fillId="3" borderId="0" xfId="0" applyNumberFormat="1" applyFont="1" applyFill="1" applyBorder="1"/>
    <xf numFmtId="0" fontId="3" fillId="3" borderId="0" xfId="0" quotePrefix="1" applyFont="1" applyFill="1" applyBorder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/>
    <xf numFmtId="0" fontId="17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 applyBorder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 applyAlignment="1"/>
    <xf numFmtId="0" fontId="35" fillId="3" borderId="0" xfId="0" applyFont="1" applyFill="1"/>
    <xf numFmtId="0" fontId="33" fillId="3" borderId="0" xfId="0" applyFont="1" applyFill="1" applyBorder="1"/>
    <xf numFmtId="164" fontId="15" fillId="3" borderId="0" xfId="0" applyNumberFormat="1" applyFont="1" applyFill="1" applyBorder="1"/>
    <xf numFmtId="165" fontId="5" fillId="3" borderId="0" xfId="0" applyNumberFormat="1" applyFont="1" applyFill="1" applyBorder="1"/>
    <xf numFmtId="164" fontId="10" fillId="3" borderId="0" xfId="0" applyNumberFormat="1" applyFont="1" applyFill="1" applyBorder="1" applyAlignment="1">
      <alignment horizontal="right"/>
    </xf>
    <xf numFmtId="165" fontId="19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left" wrapText="1"/>
      <protection locked="0" hidden="1"/>
    </xf>
    <xf numFmtId="0" fontId="0" fillId="0" borderId="0" xfId="0" applyAlignment="1">
      <alignment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0" fontId="10" fillId="3" borderId="0" xfId="0" applyFont="1" applyFill="1" applyAlignment="1"/>
    <xf numFmtId="0" fontId="0" fillId="3" borderId="0" xfId="0" applyFont="1" applyFill="1" applyAlignment="1">
      <alignment vertical="center"/>
    </xf>
    <xf numFmtId="0" fontId="11" fillId="3" borderId="0" xfId="0" applyFont="1" applyFill="1" applyAlignment="1"/>
    <xf numFmtId="0" fontId="0" fillId="0" borderId="0" xfId="0" applyAlignment="1">
      <alignment vertical="center"/>
    </xf>
    <xf numFmtId="164" fontId="10" fillId="3" borderId="0" xfId="0" applyNumberFormat="1" applyFont="1" applyFill="1" applyAlignment="1"/>
    <xf numFmtId="0" fontId="0" fillId="0" borderId="0" xfId="0" applyAlignment="1"/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right"/>
    </xf>
    <xf numFmtId="164" fontId="37" fillId="3" borderId="6" xfId="0" quotePrefix="1" applyNumberFormat="1" applyFont="1" applyFill="1" applyBorder="1" applyAlignment="1">
      <alignment horizontal="right"/>
    </xf>
    <xf numFmtId="164" fontId="20" fillId="3" borderId="6" xfId="0" applyNumberFormat="1" applyFont="1" applyFill="1" applyBorder="1" applyAlignment="1">
      <alignment horizontal="right"/>
    </xf>
    <xf numFmtId="165" fontId="19" fillId="3" borderId="6" xfId="0" applyNumberFormat="1" applyFont="1" applyFill="1" applyBorder="1" applyAlignment="1">
      <alignment horizontal="right"/>
    </xf>
    <xf numFmtId="164" fontId="38" fillId="3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3" fontId="7" fillId="3" borderId="7" xfId="0" applyNumberFormat="1" applyFont="1" applyFill="1" applyBorder="1" applyAlignment="1">
      <alignment horizont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/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0" fillId="3" borderId="24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64" fontId="20" fillId="3" borderId="5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164" fontId="19" fillId="3" borderId="0" xfId="0" applyNumberFormat="1" applyFont="1" applyFill="1" applyBorder="1" applyAlignment="1">
      <alignment horizontal="right"/>
    </xf>
    <xf numFmtId="0" fontId="10" fillId="3" borderId="18" xfId="0" applyFont="1" applyFill="1" applyBorder="1" applyAlignment="1">
      <alignment horizontal="center"/>
    </xf>
    <xf numFmtId="0" fontId="17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3" fillId="2" borderId="14" xfId="0" quotePrefix="1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20" xfId="0" quotePrefix="1" applyFont="1" applyFill="1" applyBorder="1" applyAlignment="1">
      <alignment horizontal="right"/>
    </xf>
    <xf numFmtId="0" fontId="3" fillId="0" borderId="14" xfId="0" quotePrefix="1" applyFont="1" applyFill="1" applyBorder="1" applyAlignment="1">
      <alignment horizontal="right"/>
    </xf>
    <xf numFmtId="0" fontId="11" fillId="3" borderId="0" xfId="0" applyFont="1" applyFill="1" applyAlignment="1"/>
    <xf numFmtId="0" fontId="0" fillId="0" borderId="0" xfId="0" applyFont="1" applyAlignment="1"/>
    <xf numFmtId="165" fontId="20" fillId="3" borderId="0" xfId="0" applyNumberFormat="1" applyFont="1" applyFill="1" applyBorder="1" applyAlignment="1">
      <alignment horizontal="center" vertical="center" wrapText="1"/>
    </xf>
    <xf numFmtId="164" fontId="20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/>
    <xf numFmtId="0" fontId="9" fillId="3" borderId="0" xfId="0" quotePrefix="1" applyFont="1" applyFill="1" applyBorder="1" applyAlignment="1">
      <alignment horizontal="right" vertical="center"/>
    </xf>
    <xf numFmtId="0" fontId="3" fillId="3" borderId="0" xfId="0" quotePrefix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7" fillId="3" borderId="16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8" xfId="0" quotePrefix="1" applyFont="1" applyFill="1" applyBorder="1" applyAlignment="1">
      <alignment horizontal="center" vertical="center"/>
    </xf>
    <xf numFmtId="0" fontId="26" fillId="2" borderId="29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164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/>
    <xf numFmtId="0" fontId="0" fillId="0" borderId="0" xfId="0" applyAlignment="1">
      <alignment vertical="center"/>
    </xf>
    <xf numFmtId="0" fontId="17" fillId="3" borderId="26" xfId="0" applyFont="1" applyFill="1" applyBorder="1" applyAlignment="1">
      <alignment horizontal="right" wrapText="1"/>
    </xf>
    <xf numFmtId="164" fontId="15" fillId="2" borderId="1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0" fontId="10" fillId="3" borderId="6" xfId="0" applyNumberFormat="1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32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 applyAlignment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 applyAlignment="1"/>
    <xf numFmtId="164" fontId="44" fillId="3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Alignment="1"/>
    <xf numFmtId="49" fontId="10" fillId="3" borderId="3" xfId="0" applyNumberFormat="1" applyFont="1" applyFill="1" applyBorder="1" applyAlignment="1" applyProtection="1">
      <alignment horizontal="center" wrapText="1"/>
      <protection locked="0" hidden="1"/>
    </xf>
    <xf numFmtId="0" fontId="45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 applyFill="1" applyAlignment="1"/>
    <xf numFmtId="0" fontId="0" fillId="0" borderId="0" xfId="0" applyFill="1" applyAlignment="1">
      <alignment vertical="center"/>
    </xf>
    <xf numFmtId="49" fontId="10" fillId="3" borderId="21" xfId="0" applyNumberFormat="1" applyFont="1" applyFill="1" applyBorder="1" applyAlignment="1" applyProtection="1">
      <alignment horizontal="center" wrapText="1"/>
      <protection locked="0" hidden="1"/>
    </xf>
    <xf numFmtId="0" fontId="3" fillId="6" borderId="0" xfId="0" applyFont="1" applyFill="1" applyBorder="1" applyAlignment="1">
      <alignment wrapText="1"/>
    </xf>
    <xf numFmtId="0" fontId="9" fillId="6" borderId="0" xfId="0" quotePrefix="1" applyFont="1" applyFill="1" applyBorder="1" applyAlignment="1">
      <alignment horizontal="right"/>
    </xf>
    <xf numFmtId="0" fontId="3" fillId="6" borderId="0" xfId="0" quotePrefix="1" applyFont="1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49" fontId="3" fillId="6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10" fillId="6" borderId="0" xfId="0" applyFont="1" applyFill="1" applyBorder="1"/>
    <xf numFmtId="164" fontId="5" fillId="6" borderId="0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5" fillId="6" borderId="0" xfId="0" applyFont="1" applyFill="1"/>
    <xf numFmtId="164" fontId="19" fillId="3" borderId="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horizontal="right"/>
    </xf>
    <xf numFmtId="0" fontId="0" fillId="3" borderId="6" xfId="0" applyFont="1" applyFill="1" applyBorder="1" applyAlignment="1"/>
    <xf numFmtId="49" fontId="10" fillId="3" borderId="6" xfId="0" applyNumberFormat="1" applyFont="1" applyFill="1" applyBorder="1" applyAlignment="1" applyProtection="1">
      <alignment horizontal="center" wrapText="1"/>
    </xf>
    <xf numFmtId="0" fontId="43" fillId="0" borderId="9" xfId="0" applyFont="1" applyBorder="1" applyAlignment="1">
      <alignment horizontal="center"/>
    </xf>
    <xf numFmtId="0" fontId="3" fillId="3" borderId="12" xfId="0" quotePrefix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 wrapText="1"/>
    </xf>
    <xf numFmtId="49" fontId="10" fillId="3" borderId="21" xfId="0" applyNumberFormat="1" applyFont="1" applyFill="1" applyBorder="1" applyAlignment="1">
      <alignment horizontal="center"/>
    </xf>
    <xf numFmtId="0" fontId="4" fillId="3" borderId="27" xfId="0" quotePrefix="1" applyFont="1" applyFill="1" applyBorder="1" applyAlignment="1">
      <alignment horizontal="right"/>
    </xf>
    <xf numFmtId="0" fontId="3" fillId="2" borderId="20" xfId="0" quotePrefix="1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40" fillId="3" borderId="3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/>
    </xf>
    <xf numFmtId="0" fontId="3" fillId="3" borderId="3" xfId="0" quotePrefix="1" applyFont="1" applyFill="1" applyBorder="1" applyAlignment="1"/>
    <xf numFmtId="0" fontId="4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 applyAlignment="1"/>
    <xf numFmtId="0" fontId="4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3" xfId="0" applyFont="1" applyFill="1" applyBorder="1" applyAlignment="1"/>
    <xf numFmtId="0" fontId="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right"/>
    </xf>
    <xf numFmtId="164" fontId="20" fillId="3" borderId="35" xfId="0" applyNumberFormat="1" applyFont="1" applyFill="1" applyBorder="1" applyAlignment="1">
      <alignment horizontal="right"/>
    </xf>
    <xf numFmtId="164" fontId="37" fillId="3" borderId="6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37" fillId="3" borderId="3" xfId="0" quotePrefix="1" applyNumberFormat="1" applyFont="1" applyFill="1" applyBorder="1" applyAlignment="1">
      <alignment horizontal="right"/>
    </xf>
    <xf numFmtId="164" fontId="37" fillId="3" borderId="3" xfId="0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8" fillId="3" borderId="3" xfId="0" applyNumberFormat="1" applyFont="1" applyFill="1" applyBorder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64" fontId="19" fillId="3" borderId="34" xfId="0" applyNumberFormat="1" applyFont="1" applyFill="1" applyBorder="1" applyAlignment="1">
      <alignment horizontal="right"/>
    </xf>
    <xf numFmtId="0" fontId="7" fillId="3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30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1" xfId="0" applyNumberFormat="1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center" vertical="center" wrapText="1"/>
    </xf>
    <xf numFmtId="0" fontId="13" fillId="2" borderId="27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 applyProtection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6" xfId="0" applyNumberFormat="1" applyFont="1" applyFill="1" applyBorder="1" applyAlignment="1" applyProtection="1">
      <alignment wrapText="1"/>
    </xf>
    <xf numFmtId="0" fontId="10" fillId="3" borderId="6" xfId="0" applyNumberFormat="1" applyFont="1" applyFill="1" applyBorder="1" applyAlignment="1">
      <alignment horizontal="left" wrapText="1"/>
    </xf>
    <xf numFmtId="0" fontId="10" fillId="3" borderId="9" xfId="0" applyFont="1" applyFill="1" applyBorder="1" applyAlignment="1"/>
    <xf numFmtId="0" fontId="12" fillId="3" borderId="5" xfId="0" applyFont="1" applyFill="1" applyBorder="1" applyAlignment="1">
      <alignment wrapText="1"/>
    </xf>
    <xf numFmtId="0" fontId="10" fillId="3" borderId="38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49" fontId="10" fillId="3" borderId="8" xfId="0" applyNumberFormat="1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10" fillId="3" borderId="6" xfId="0" applyNumberFormat="1" applyFont="1" applyFill="1" applyBorder="1" applyAlignment="1">
      <alignment wrapText="1"/>
    </xf>
    <xf numFmtId="0" fontId="43" fillId="0" borderId="9" xfId="0" applyFont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NumberFormat="1" applyFont="1" applyFill="1" applyBorder="1" applyAlignment="1" applyProtection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6" xfId="0" applyNumberFormat="1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right"/>
    </xf>
    <xf numFmtId="0" fontId="4" fillId="3" borderId="12" xfId="0" quotePrefix="1" applyFont="1" applyFill="1" applyBorder="1" applyAlignment="1">
      <alignment horizontal="right"/>
    </xf>
    <xf numFmtId="0" fontId="43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0" fontId="0" fillId="0" borderId="0" xfId="0" applyAlignment="1">
      <alignment vertical="center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30" fillId="3" borderId="1" xfId="0" quotePrefix="1" applyFont="1" applyFill="1" applyBorder="1" applyAlignment="1">
      <alignment horizontal="center" vertical="center"/>
    </xf>
    <xf numFmtId="0" fontId="26" fillId="3" borderId="1" xfId="0" quotePrefix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/>
    <xf numFmtId="0" fontId="10" fillId="3" borderId="12" xfId="0" applyFont="1" applyFill="1" applyBorder="1" applyAlignment="1" applyProtection="1">
      <alignment wrapText="1"/>
      <protection locked="0" hidden="1"/>
    </xf>
    <xf numFmtId="0" fontId="3" fillId="3" borderId="20" xfId="0" applyFont="1" applyFill="1" applyBorder="1" applyAlignment="1"/>
    <xf numFmtId="0" fontId="10" fillId="3" borderId="12" xfId="0" applyFont="1" applyFill="1" applyBorder="1" applyAlignment="1">
      <alignment wrapText="1"/>
    </xf>
    <xf numFmtId="0" fontId="43" fillId="0" borderId="0" xfId="0" applyFont="1" applyAlignment="1">
      <alignment wrapText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10" fillId="3" borderId="1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horizontal="right"/>
    </xf>
    <xf numFmtId="0" fontId="0" fillId="3" borderId="0" xfId="0" applyFont="1" applyFill="1" applyAlignment="1">
      <alignment vertical="center"/>
    </xf>
    <xf numFmtId="0" fontId="10" fillId="3" borderId="12" xfId="0" applyNumberFormat="1" applyFont="1" applyFill="1" applyBorder="1" applyAlignment="1" applyProtection="1">
      <alignment horizontal="left" wrapText="1"/>
      <protection locked="0" hidden="1"/>
    </xf>
    <xf numFmtId="0" fontId="9" fillId="3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/>
    <xf numFmtId="0" fontId="3" fillId="3" borderId="21" xfId="0" applyFont="1" applyFill="1" applyBorder="1" applyAlignment="1"/>
    <xf numFmtId="165" fontId="3" fillId="3" borderId="3" xfId="0" quotePrefix="1" applyNumberFormat="1" applyFont="1" applyFill="1" applyBorder="1" applyAlignment="1">
      <alignment horizontal="right"/>
    </xf>
    <xf numFmtId="0" fontId="0" fillId="3" borderId="0" xfId="0" applyFont="1" applyFill="1" applyAlignment="1"/>
    <xf numFmtId="0" fontId="0" fillId="3" borderId="0" xfId="0" applyFont="1" applyFill="1" applyAlignment="1">
      <alignment horizontal="right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2" fillId="3" borderId="8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 applyAlignment="1"/>
    <xf numFmtId="164" fontId="0" fillId="3" borderId="0" xfId="0" applyNumberFormat="1" applyFont="1" applyFill="1"/>
    <xf numFmtId="0" fontId="48" fillId="3" borderId="14" xfId="0" quotePrefix="1" applyFont="1" applyFill="1" applyBorder="1" applyAlignment="1">
      <alignment horizontal="right"/>
    </xf>
    <xf numFmtId="0" fontId="48" fillId="3" borderId="1" xfId="0" applyFont="1" applyFill="1" applyBorder="1" applyAlignment="1">
      <alignment horizontal="right" wrapText="1"/>
    </xf>
    <xf numFmtId="0" fontId="51" fillId="3" borderId="20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4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20" xfId="0" quotePrefix="1" applyFont="1" applyFill="1" applyBorder="1" applyAlignment="1">
      <alignment horizontal="right"/>
    </xf>
    <xf numFmtId="0" fontId="54" fillId="3" borderId="21" xfId="0" applyFont="1" applyFill="1" applyBorder="1" applyAlignment="1">
      <alignment horizontal="center"/>
    </xf>
    <xf numFmtId="0" fontId="54" fillId="3" borderId="21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1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1" xfId="0" quotePrefix="1" applyFont="1" applyFill="1" applyBorder="1" applyAlignment="1">
      <alignment horizontal="right"/>
    </xf>
    <xf numFmtId="0" fontId="52" fillId="3" borderId="14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20" xfId="0" quotePrefix="1" applyFont="1" applyFill="1" applyBorder="1" applyAlignment="1">
      <alignment horizontal="right"/>
    </xf>
    <xf numFmtId="49" fontId="52" fillId="3" borderId="21" xfId="0" applyNumberFormat="1" applyFont="1" applyFill="1" applyBorder="1" applyAlignment="1">
      <alignment horizontal="center"/>
    </xf>
    <xf numFmtId="0" fontId="52" fillId="3" borderId="6" xfId="0" applyNumberFormat="1" applyFont="1" applyFill="1" applyBorder="1" applyAlignment="1" applyProtection="1">
      <alignment horizontal="left" wrapText="1"/>
      <protection locked="0" hidden="1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0" fontId="53" fillId="3" borderId="14" xfId="0" quotePrefix="1" applyFont="1" applyFill="1" applyBorder="1" applyAlignment="1">
      <alignment horizontal="right" wrapText="1"/>
    </xf>
    <xf numFmtId="49" fontId="54" fillId="3" borderId="21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20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20" xfId="0" quotePrefix="1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2" xfId="0" applyFont="1" applyFill="1" applyBorder="1" applyAlignment="1">
      <alignment horizontal="left" wrapText="1"/>
    </xf>
    <xf numFmtId="0" fontId="48" fillId="3" borderId="1" xfId="0" quotePrefix="1" applyFont="1" applyFill="1" applyBorder="1" applyAlignment="1">
      <alignment horizontal="right"/>
    </xf>
    <xf numFmtId="0" fontId="59" fillId="3" borderId="1" xfId="0" quotePrefix="1" applyFont="1" applyFill="1" applyBorder="1" applyAlignment="1">
      <alignment horizontal="right"/>
    </xf>
    <xf numFmtId="0" fontId="54" fillId="3" borderId="20" xfId="0" applyFont="1" applyFill="1" applyBorder="1" applyAlignment="1">
      <alignment horizontal="right"/>
    </xf>
    <xf numFmtId="0" fontId="58" fillId="3" borderId="20" xfId="0" applyFont="1" applyFill="1" applyBorder="1" applyAlignment="1">
      <alignment horizontal="right"/>
    </xf>
    <xf numFmtId="0" fontId="60" fillId="3" borderId="20" xfId="0" applyFont="1" applyFill="1" applyBorder="1" applyAlignment="1">
      <alignment horizontal="right"/>
    </xf>
    <xf numFmtId="0" fontId="54" fillId="3" borderId="21" xfId="0" quotePrefix="1" applyFont="1" applyFill="1" applyBorder="1" applyAlignment="1"/>
    <xf numFmtId="0" fontId="52" fillId="3" borderId="21" xfId="0" applyFont="1" applyFill="1" applyBorder="1" applyAlignment="1">
      <alignment horizontal="center" wrapText="1"/>
    </xf>
    <xf numFmtId="0" fontId="58" fillId="3" borderId="1" xfId="0" applyFont="1" applyFill="1" applyBorder="1" applyAlignment="1">
      <alignment horizontal="right"/>
    </xf>
    <xf numFmtId="0" fontId="52" fillId="3" borderId="21" xfId="0" applyFont="1" applyFill="1" applyBorder="1" applyAlignment="1">
      <alignment horizontal="center"/>
    </xf>
    <xf numFmtId="0" fontId="52" fillId="3" borderId="8" xfId="0" applyNumberFormat="1" applyFont="1" applyFill="1" applyBorder="1" applyAlignment="1">
      <alignment horizontal="left" wrapText="1"/>
    </xf>
    <xf numFmtId="164" fontId="10" fillId="3" borderId="6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/>
    <xf numFmtId="164" fontId="3" fillId="3" borderId="0" xfId="0" applyNumberFormat="1" applyFont="1" applyFill="1" applyBorder="1"/>
    <xf numFmtId="0" fontId="5" fillId="3" borderId="0" xfId="0" applyFont="1" applyFill="1"/>
    <xf numFmtId="0" fontId="0" fillId="3" borderId="0" xfId="0" applyFill="1" applyAlignment="1">
      <alignment vertical="center"/>
    </xf>
    <xf numFmtId="164" fontId="18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19" fillId="3" borderId="3" xfId="0" applyNumberFormat="1" applyFont="1" applyFill="1" applyBorder="1" applyAlignment="1">
      <alignment horizontal="right"/>
    </xf>
    <xf numFmtId="164" fontId="12" fillId="3" borderId="16" xfId="0" applyNumberFormat="1" applyFont="1" applyFill="1" applyBorder="1" applyAlignment="1">
      <alignment horizontal="right" wrapText="1"/>
    </xf>
    <xf numFmtId="0" fontId="9" fillId="3" borderId="14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12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164" fontId="19" fillId="3" borderId="3" xfId="0" applyNumberFormat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3" fillId="3" borderId="6" xfId="0" quotePrefix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 wrapText="1"/>
    </xf>
    <xf numFmtId="164" fontId="12" fillId="3" borderId="19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17" fillId="3" borderId="1" xfId="0" quotePrefix="1" applyFont="1" applyFill="1" applyBorder="1" applyAlignment="1">
      <alignment horizontal="right"/>
    </xf>
    <xf numFmtId="164" fontId="12" fillId="3" borderId="0" xfId="0" applyNumberFormat="1" applyFont="1" applyFill="1" applyAlignment="1"/>
    <xf numFmtId="49" fontId="4" fillId="3" borderId="21" xfId="0" applyNumberFormat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9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 applyProtection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 wrapText="1"/>
    </xf>
    <xf numFmtId="0" fontId="52" fillId="3" borderId="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49" fontId="52" fillId="3" borderId="12" xfId="0" applyNumberFormat="1" applyFont="1" applyFill="1" applyBorder="1" applyAlignment="1" applyProtection="1">
      <alignment horizontal="left" wrapText="1"/>
      <protection locked="0" hidden="1"/>
    </xf>
    <xf numFmtId="49" fontId="52" fillId="3" borderId="12" xfId="0" applyNumberFormat="1" applyFont="1" applyFill="1" applyBorder="1" applyAlignment="1" applyProtection="1">
      <alignment wrapText="1"/>
      <protection locked="0" hidden="1"/>
    </xf>
    <xf numFmtId="0" fontId="52" fillId="3" borderId="12" xfId="0" applyFont="1" applyFill="1" applyBorder="1" applyAlignment="1">
      <alignment wrapText="1"/>
    </xf>
    <xf numFmtId="0" fontId="52" fillId="3" borderId="12" xfId="0" applyFont="1" applyFill="1" applyBorder="1" applyAlignment="1">
      <alignment horizontal="left" vertical="center" wrapText="1"/>
    </xf>
    <xf numFmtId="0" fontId="52" fillId="3" borderId="12" xfId="0" applyFont="1" applyFill="1" applyBorder="1" applyAlignment="1" applyProtection="1">
      <alignment horizontal="left" wrapText="1"/>
      <protection locked="0" hidden="1"/>
    </xf>
    <xf numFmtId="0" fontId="52" fillId="3" borderId="12" xfId="0" applyFont="1" applyFill="1" applyBorder="1" applyAlignment="1" applyProtection="1">
      <alignment wrapText="1"/>
      <protection locked="0" hidden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9" fillId="3" borderId="20" xfId="0" applyFont="1" applyFill="1" applyBorder="1" applyAlignment="1">
      <alignment horizontal="right"/>
    </xf>
    <xf numFmtId="0" fontId="56" fillId="3" borderId="20" xfId="0" applyFont="1" applyFill="1" applyBorder="1" applyAlignment="1"/>
    <xf numFmtId="0" fontId="57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 wrapText="1"/>
    </xf>
    <xf numFmtId="0" fontId="57" fillId="3" borderId="20" xfId="0" applyFont="1" applyFill="1" applyBorder="1" applyAlignment="1"/>
    <xf numFmtId="0" fontId="54" fillId="3" borderId="20" xfId="0" applyFont="1" applyFill="1" applyBorder="1" applyAlignment="1"/>
    <xf numFmtId="0" fontId="54" fillId="3" borderId="20" xfId="0" quotePrefix="1" applyFont="1" applyFill="1" applyBorder="1" applyAlignment="1"/>
    <xf numFmtId="0" fontId="3" fillId="3" borderId="20" xfId="0" applyFont="1" applyFill="1" applyBorder="1" applyAlignment="1">
      <alignment horizontal="right"/>
    </xf>
    <xf numFmtId="0" fontId="56" fillId="3" borderId="20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righ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 applyAlignment="1"/>
    <xf numFmtId="0" fontId="16" fillId="3" borderId="0" xfId="0" applyFont="1" applyFill="1" applyAlignment="1"/>
    <xf numFmtId="0" fontId="54" fillId="3" borderId="3" xfId="0" quotePrefix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47" fillId="3" borderId="8" xfId="0" applyFont="1" applyFill="1" applyBorder="1" applyAlignment="1">
      <alignment horizontal="left" wrapText="1"/>
    </xf>
    <xf numFmtId="0" fontId="51" fillId="3" borderId="39" xfId="0" quotePrefix="1" applyFont="1" applyFill="1" applyBorder="1" applyAlignment="1">
      <alignment horizontal="right"/>
    </xf>
    <xf numFmtId="165" fontId="12" fillId="3" borderId="40" xfId="0" applyNumberFormat="1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right"/>
    </xf>
    <xf numFmtId="0" fontId="5" fillId="3" borderId="21" xfId="0" applyFont="1" applyFill="1" applyBorder="1"/>
    <xf numFmtId="0" fontId="4" fillId="3" borderId="21" xfId="0" applyFont="1" applyFill="1" applyBorder="1" applyAlignment="1">
      <alignment horizontal="right"/>
    </xf>
    <xf numFmtId="0" fontId="3" fillId="3" borderId="21" xfId="0" applyFont="1" applyFill="1" applyBorder="1"/>
    <xf numFmtId="0" fontId="0" fillId="3" borderId="21" xfId="0" applyFont="1" applyFill="1" applyBorder="1"/>
    <xf numFmtId="0" fontId="0" fillId="3" borderId="21" xfId="0" applyFont="1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2" fillId="3" borderId="21" xfId="0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right"/>
    </xf>
    <xf numFmtId="0" fontId="4" fillId="3" borderId="21" xfId="0" quotePrefix="1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13" fillId="3" borderId="21" xfId="0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 wrapText="1"/>
    </xf>
    <xf numFmtId="0" fontId="10" fillId="3" borderId="21" xfId="0" quotePrefix="1" applyFont="1" applyFill="1" applyBorder="1" applyAlignment="1">
      <alignment horizontal="right"/>
    </xf>
    <xf numFmtId="0" fontId="9" fillId="3" borderId="21" xfId="0" quotePrefix="1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 wrapText="1"/>
    </xf>
    <xf numFmtId="0" fontId="3" fillId="3" borderId="21" xfId="0" quotePrefix="1" applyFont="1" applyFill="1" applyBorder="1" applyAlignment="1"/>
    <xf numFmtId="0" fontId="5" fillId="3" borderId="21" xfId="0" applyFont="1" applyFill="1" applyBorder="1" applyAlignment="1">
      <alignment horizontal="right"/>
    </xf>
    <xf numFmtId="0" fontId="5" fillId="3" borderId="21" xfId="0" applyFont="1" applyFill="1" applyBorder="1" applyAlignment="1"/>
    <xf numFmtId="49" fontId="3" fillId="3" borderId="35" xfId="0" applyNumberFormat="1" applyFont="1" applyFill="1" applyBorder="1" applyAlignment="1">
      <alignment horizontal="right"/>
    </xf>
    <xf numFmtId="49" fontId="47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8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54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0" fontId="52" fillId="3" borderId="6" xfId="0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" xfId="0" quotePrefix="1" applyFont="1" applyFill="1" applyBorder="1" applyAlignment="1">
      <alignment horizontal="center" vertical="top"/>
    </xf>
    <xf numFmtId="0" fontId="60" fillId="3" borderId="20" xfId="0" quotePrefix="1" applyFont="1" applyFill="1" applyBorder="1" applyAlignment="1">
      <alignment horizontal="center" vertical="top"/>
    </xf>
    <xf numFmtId="0" fontId="58" fillId="3" borderId="1" xfId="0" quotePrefix="1" applyFont="1" applyFill="1" applyBorder="1" applyAlignment="1">
      <alignment horizontal="center" vertical="top"/>
    </xf>
    <xf numFmtId="0" fontId="58" fillId="3" borderId="20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 applyAlignment="1"/>
    <xf numFmtId="164" fontId="52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/>
    <xf numFmtId="165" fontId="20" fillId="3" borderId="25" xfId="0" applyNumberFormat="1" applyFont="1" applyFill="1" applyBorder="1" applyAlignment="1">
      <alignment horizontal="center" vertical="center" wrapText="1"/>
    </xf>
    <xf numFmtId="165" fontId="20" fillId="3" borderId="27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/>
    </xf>
    <xf numFmtId="164" fontId="50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/>
    <xf numFmtId="164" fontId="20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>
      <alignment horizontal="right"/>
    </xf>
    <xf numFmtId="165" fontId="55" fillId="3" borderId="20" xfId="0" applyNumberFormat="1" applyFont="1" applyFill="1" applyBorder="1" applyAlignment="1"/>
    <xf numFmtId="164" fontId="52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/>
    <xf numFmtId="0" fontId="12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NumberFormat="1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wrapText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 applyAlignment="1"/>
    <xf numFmtId="0" fontId="52" fillId="3" borderId="6" xfId="0" applyNumberFormat="1" applyFont="1" applyFill="1" applyBorder="1" applyAlignment="1">
      <alignment horizontal="left" wrapText="1"/>
    </xf>
    <xf numFmtId="165" fontId="20" fillId="3" borderId="4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 applyAlignment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52" fillId="3" borderId="13" xfId="0" applyFont="1" applyFill="1" applyBorder="1" applyAlignment="1">
      <alignment horizontal="left" wrapText="1"/>
    </xf>
    <xf numFmtId="0" fontId="53" fillId="3" borderId="28" xfId="0" quotePrefix="1" applyFont="1" applyFill="1" applyBorder="1" applyAlignment="1">
      <alignment horizontal="right"/>
    </xf>
    <xf numFmtId="0" fontId="54" fillId="3" borderId="42" xfId="0" quotePrefix="1" applyFont="1" applyFill="1" applyBorder="1" applyAlignment="1">
      <alignment horizontal="right"/>
    </xf>
    <xf numFmtId="49" fontId="52" fillId="3" borderId="42" xfId="0" applyNumberFormat="1" applyFont="1" applyFill="1" applyBorder="1" applyAlignment="1" applyProtection="1">
      <alignment horizontal="center" wrapText="1"/>
      <protection locked="0" hidden="1"/>
    </xf>
    <xf numFmtId="0" fontId="54" fillId="3" borderId="29" xfId="0" quotePrefix="1" applyFont="1" applyFill="1" applyBorder="1" applyAlignment="1">
      <alignment horizontal="right"/>
    </xf>
    <xf numFmtId="164" fontId="55" fillId="3" borderId="43" xfId="0" applyNumberFormat="1" applyFont="1" applyFill="1" applyBorder="1" applyAlignment="1">
      <alignment horizontal="right"/>
    </xf>
    <xf numFmtId="164" fontId="55" fillId="3" borderId="42" xfId="0" applyNumberFormat="1" applyFont="1" applyFill="1" applyBorder="1" applyAlignment="1">
      <alignment horizontal="right"/>
    </xf>
    <xf numFmtId="164" fontId="55" fillId="3" borderId="29" xfId="0" applyNumberFormat="1" applyFont="1" applyFill="1" applyBorder="1" applyAlignment="1">
      <alignment horizontal="right"/>
    </xf>
    <xf numFmtId="0" fontId="54" fillId="3" borderId="17" xfId="0" applyFont="1" applyFill="1" applyBorder="1" applyAlignment="1">
      <alignment horizontal="right"/>
    </xf>
    <xf numFmtId="0" fontId="54" fillId="3" borderId="17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0" fillId="3" borderId="44" xfId="0" applyNumberFormat="1" applyFont="1" applyFill="1" applyBorder="1" applyAlignment="1">
      <alignment horizontal="right"/>
    </xf>
    <xf numFmtId="164" fontId="50" fillId="3" borderId="17" xfId="0" applyNumberFormat="1" applyFont="1" applyFill="1" applyBorder="1" applyAlignment="1">
      <alignment horizontal="right"/>
    </xf>
    <xf numFmtId="0" fontId="0" fillId="3" borderId="0" xfId="0" applyFont="1" applyFill="1"/>
    <xf numFmtId="164" fontId="55" fillId="3" borderId="6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53" fillId="3" borderId="21" xfId="0" applyFont="1" applyFill="1" applyBorder="1" applyAlignment="1">
      <alignment horizontal="center"/>
    </xf>
    <xf numFmtId="0" fontId="54" fillId="3" borderId="21" xfId="0" quotePrefix="1" applyFont="1" applyFill="1" applyBorder="1" applyAlignment="1">
      <alignment horizontal="right" wrapText="1"/>
    </xf>
    <xf numFmtId="0" fontId="2" fillId="3" borderId="0" xfId="0" applyFont="1" applyFill="1"/>
    <xf numFmtId="0" fontId="0" fillId="3" borderId="0" xfId="0" applyFont="1" applyFill="1" applyAlignment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vertical="top" wrapText="1"/>
    </xf>
    <xf numFmtId="164" fontId="19" fillId="3" borderId="12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55" fillId="3" borderId="3" xfId="0" applyNumberFormat="1" applyFont="1" applyFill="1" applyBorder="1" applyAlignment="1">
      <alignment horizontal="right"/>
    </xf>
    <xf numFmtId="0" fontId="48" fillId="3" borderId="14" xfId="0" quotePrefix="1" applyFont="1" applyFill="1" applyBorder="1" applyAlignment="1">
      <alignment horizontal="right" wrapText="1"/>
    </xf>
    <xf numFmtId="0" fontId="54" fillId="3" borderId="0" xfId="0" applyFont="1" applyFill="1" applyBorder="1" applyAlignment="1">
      <alignment horizontal="right"/>
    </xf>
    <xf numFmtId="0" fontId="47" fillId="3" borderId="18" xfId="0" applyFont="1" applyFill="1" applyBorder="1" applyAlignment="1">
      <alignment horizontal="left" wrapText="1"/>
    </xf>
    <xf numFmtId="0" fontId="54" fillId="3" borderId="44" xfId="0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/>
    </xf>
    <xf numFmtId="0" fontId="24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0" fontId="0" fillId="0" borderId="0" xfId="0" applyAlignment="1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 applyAlignment="1"/>
    <xf numFmtId="164" fontId="18" fillId="3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right" wrapText="1"/>
    </xf>
    <xf numFmtId="0" fontId="24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/>
    <xf numFmtId="0" fontId="24" fillId="3" borderId="0" xfId="0" applyFont="1" applyFill="1" applyAlignment="1">
      <alignment horizontal="center" wrapText="1"/>
    </xf>
    <xf numFmtId="0" fontId="0" fillId="0" borderId="0" xfId="0" applyFont="1" applyAlignment="1"/>
  </cellXfs>
  <cellStyles count="6">
    <cellStyle name="Обычный" xfId="0" builtinId="0"/>
    <cellStyle name="Обычный 2" xfId="1"/>
    <cellStyle name="Обычный 3" xfId="2"/>
    <cellStyle name="Обычный 4" xfId="5"/>
    <cellStyle name="Обычный 5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11"/>
  <sheetViews>
    <sheetView tabSelected="1" view="pageBreakPreview" zoomScale="87" zoomScaleNormal="100" zoomScaleSheetLayoutView="87" zoomScalePageLayoutView="80" workbookViewId="0">
      <selection activeCell="P6" sqref="O6:P6"/>
    </sheetView>
  </sheetViews>
  <sheetFormatPr defaultColWidth="8.85546875" defaultRowHeight="16.5" x14ac:dyDescent="0.25"/>
  <cols>
    <col min="1" max="1" width="95.28515625" style="12" customWidth="1"/>
    <col min="2" max="3" width="5.42578125" style="14" customWidth="1"/>
    <col min="4" max="4" width="16" style="20" customWidth="1"/>
    <col min="5" max="5" width="6.42578125" style="14" customWidth="1"/>
    <col min="6" max="6" width="15.140625" style="24" customWidth="1"/>
    <col min="7" max="7" width="17" style="13" customWidth="1"/>
    <col min="8" max="8" width="15.140625" style="24" customWidth="1"/>
    <col min="9" max="9" width="17.28515625" style="13" customWidth="1"/>
    <col min="10" max="10" width="15.28515625" style="129" customWidth="1"/>
    <col min="11" max="11" width="18.28515625" style="129" customWidth="1"/>
    <col min="12" max="13" width="8.85546875" style="129"/>
    <col min="14" max="14" width="13.28515625" style="129" customWidth="1"/>
    <col min="15" max="16384" width="8.85546875" style="129"/>
  </cols>
  <sheetData>
    <row r="1" spans="1:15" x14ac:dyDescent="0.25">
      <c r="A1" s="706"/>
    </row>
    <row r="2" spans="1:15" x14ac:dyDescent="0.25">
      <c r="A2" s="706"/>
      <c r="I2" s="722" t="s">
        <v>786</v>
      </c>
      <c r="J2" s="719"/>
      <c r="K2" s="719"/>
    </row>
    <row r="3" spans="1:15" ht="116.25" customHeight="1" x14ac:dyDescent="0.25">
      <c r="A3" s="706"/>
      <c r="I3" s="723" t="s">
        <v>829</v>
      </c>
      <c r="J3" s="723"/>
      <c r="K3" s="723"/>
    </row>
    <row r="4" spans="1:15" ht="38.25" customHeight="1" x14ac:dyDescent="0.25">
      <c r="A4" s="706"/>
    </row>
    <row r="5" spans="1:15" ht="15.75" x14ac:dyDescent="0.25">
      <c r="B5" s="10"/>
      <c r="C5" s="10"/>
      <c r="F5" s="682"/>
      <c r="G5" s="679"/>
      <c r="H5" s="679"/>
      <c r="I5" s="722" t="s">
        <v>831</v>
      </c>
      <c r="J5" s="719"/>
      <c r="K5" s="719"/>
    </row>
    <row r="6" spans="1:15" ht="103.5" customHeight="1" x14ac:dyDescent="0.25">
      <c r="B6" s="10"/>
      <c r="C6" s="10"/>
      <c r="F6" s="682"/>
      <c r="G6" s="579"/>
      <c r="H6" s="579"/>
      <c r="I6" s="723" t="s">
        <v>828</v>
      </c>
      <c r="J6" s="724"/>
      <c r="K6" s="724"/>
    </row>
    <row r="7" spans="1:15" ht="15.75" hidden="1" customHeight="1" x14ac:dyDescent="0.25">
      <c r="B7" s="10"/>
      <c r="C7" s="10"/>
      <c r="F7" s="682"/>
      <c r="G7" s="720"/>
      <c r="H7" s="721"/>
      <c r="I7" s="721"/>
      <c r="J7" s="721"/>
      <c r="K7" s="721"/>
    </row>
    <row r="8" spans="1:15" ht="15.75" x14ac:dyDescent="0.25">
      <c r="B8" s="10"/>
      <c r="C8" s="10"/>
      <c r="F8" s="682"/>
      <c r="G8" s="435"/>
      <c r="H8" s="435"/>
      <c r="I8" s="435"/>
      <c r="J8" s="42"/>
    </row>
    <row r="9" spans="1:15" ht="12.75" customHeight="1" x14ac:dyDescent="0.25">
      <c r="B9" s="10"/>
      <c r="C9" s="10"/>
      <c r="F9" s="682"/>
      <c r="G9" s="435"/>
      <c r="H9" s="435"/>
      <c r="I9" s="435"/>
      <c r="J9" s="42"/>
    </row>
    <row r="10" spans="1:15" ht="15.75" hidden="1" x14ac:dyDescent="0.25">
      <c r="B10" s="10"/>
      <c r="C10" s="10"/>
      <c r="F10" s="682"/>
      <c r="G10" s="435"/>
      <c r="H10" s="435"/>
      <c r="I10" s="435"/>
      <c r="J10" s="42"/>
    </row>
    <row r="11" spans="1:15" ht="116.45" customHeight="1" x14ac:dyDescent="0.2">
      <c r="A11" s="716" t="s">
        <v>789</v>
      </c>
      <c r="B11" s="717"/>
      <c r="C11" s="717"/>
      <c r="D11" s="717"/>
      <c r="E11" s="717"/>
      <c r="F11" s="718"/>
      <c r="G11" s="718"/>
      <c r="H11" s="718"/>
      <c r="I11" s="718"/>
      <c r="J11" s="719"/>
      <c r="K11" s="719"/>
    </row>
    <row r="12" spans="1:15" ht="22.9" customHeight="1" thickBot="1" x14ac:dyDescent="0.3">
      <c r="K12" s="13" t="s">
        <v>149</v>
      </c>
    </row>
    <row r="13" spans="1:15" ht="88.9" customHeight="1" thickBot="1" x14ac:dyDescent="0.25">
      <c r="A13" s="260" t="s">
        <v>72</v>
      </c>
      <c r="B13" s="261" t="s">
        <v>0</v>
      </c>
      <c r="C13" s="174" t="s">
        <v>20</v>
      </c>
      <c r="D13" s="319" t="s">
        <v>1</v>
      </c>
      <c r="E13" s="317" t="s">
        <v>62</v>
      </c>
      <c r="F13" s="176" t="s">
        <v>436</v>
      </c>
      <c r="G13" s="175" t="s">
        <v>588</v>
      </c>
      <c r="H13" s="176" t="s">
        <v>609</v>
      </c>
      <c r="I13" s="175" t="s">
        <v>588</v>
      </c>
      <c r="J13" s="176" t="s">
        <v>644</v>
      </c>
      <c r="K13" s="175" t="s">
        <v>588</v>
      </c>
    </row>
    <row r="14" spans="1:15" thickBot="1" x14ac:dyDescent="0.3">
      <c r="A14" s="181">
        <v>1</v>
      </c>
      <c r="B14" s="213">
        <v>2</v>
      </c>
      <c r="C14" s="214">
        <v>3</v>
      </c>
      <c r="D14" s="158">
        <v>4</v>
      </c>
      <c r="E14" s="318">
        <v>5</v>
      </c>
      <c r="F14" s="166">
        <v>6</v>
      </c>
      <c r="G14" s="158">
        <v>7</v>
      </c>
      <c r="H14" s="166">
        <v>8</v>
      </c>
      <c r="I14" s="354">
        <v>9</v>
      </c>
      <c r="J14" s="166">
        <v>10</v>
      </c>
      <c r="K14" s="158">
        <v>11</v>
      </c>
    </row>
    <row r="15" spans="1:15" s="138" customFormat="1" x14ac:dyDescent="0.25">
      <c r="A15" s="381" t="s">
        <v>25</v>
      </c>
      <c r="B15" s="251" t="s">
        <v>29</v>
      </c>
      <c r="C15" s="314"/>
      <c r="D15" s="320"/>
      <c r="E15" s="324"/>
      <c r="F15" s="178">
        <f t="shared" ref="F15:K15" si="0">F16+F23+F47+F88+F125+F130+F120</f>
        <v>478720.29999999993</v>
      </c>
      <c r="G15" s="178">
        <f t="shared" si="0"/>
        <v>6821.6</v>
      </c>
      <c r="H15" s="178">
        <f t="shared" si="0"/>
        <v>338051.4</v>
      </c>
      <c r="I15" s="178">
        <f t="shared" si="0"/>
        <v>7771</v>
      </c>
      <c r="J15" s="178">
        <f t="shared" si="0"/>
        <v>324465</v>
      </c>
      <c r="K15" s="178">
        <f t="shared" si="0"/>
        <v>6899.2000000000007</v>
      </c>
      <c r="L15" s="154"/>
      <c r="N15" s="154"/>
      <c r="O15" s="154"/>
    </row>
    <row r="16" spans="1:15" s="138" customFormat="1" ht="31.5" x14ac:dyDescent="0.25">
      <c r="A16" s="375" t="s">
        <v>10</v>
      </c>
      <c r="B16" s="191" t="s">
        <v>29</v>
      </c>
      <c r="C16" s="4" t="s">
        <v>30</v>
      </c>
      <c r="D16" s="26"/>
      <c r="E16" s="325"/>
      <c r="F16" s="159">
        <f>F17</f>
        <v>9374.2999999999993</v>
      </c>
      <c r="G16" s="306"/>
      <c r="H16" s="522">
        <f>H17</f>
        <v>3451.3</v>
      </c>
      <c r="I16" s="522"/>
      <c r="J16" s="522">
        <f t="shared" ref="J16:J21" si="1">J17</f>
        <v>3451.3</v>
      </c>
      <c r="K16" s="522"/>
      <c r="L16" s="154"/>
      <c r="N16" s="154"/>
      <c r="O16" s="154"/>
    </row>
    <row r="17" spans="1:15" s="138" customFormat="1" x14ac:dyDescent="0.25">
      <c r="A17" s="255" t="s">
        <v>186</v>
      </c>
      <c r="B17" s="191" t="s">
        <v>29</v>
      </c>
      <c r="C17" s="4" t="s">
        <v>30</v>
      </c>
      <c r="D17" s="156" t="s">
        <v>112</v>
      </c>
      <c r="E17" s="325"/>
      <c r="F17" s="159">
        <f>F18</f>
        <v>9374.2999999999993</v>
      </c>
      <c r="G17" s="306"/>
      <c r="H17" s="522">
        <f>H18</f>
        <v>3451.3</v>
      </c>
      <c r="I17" s="522"/>
      <c r="J17" s="522">
        <f t="shared" si="1"/>
        <v>3451.3</v>
      </c>
      <c r="K17" s="522"/>
      <c r="L17" s="154"/>
      <c r="N17" s="154"/>
      <c r="O17" s="154"/>
    </row>
    <row r="18" spans="1:15" s="138" customFormat="1" x14ac:dyDescent="0.25">
      <c r="A18" s="255" t="s">
        <v>189</v>
      </c>
      <c r="B18" s="191" t="s">
        <v>29</v>
      </c>
      <c r="C18" s="4" t="s">
        <v>30</v>
      </c>
      <c r="D18" s="156" t="s">
        <v>190</v>
      </c>
      <c r="E18" s="325"/>
      <c r="F18" s="159">
        <f>F19</f>
        <v>9374.2999999999993</v>
      </c>
      <c r="G18" s="306"/>
      <c r="H18" s="522">
        <f>H19</f>
        <v>3451.3</v>
      </c>
      <c r="I18" s="522"/>
      <c r="J18" s="522">
        <f t="shared" si="1"/>
        <v>3451.3</v>
      </c>
      <c r="K18" s="522"/>
      <c r="L18" s="154"/>
      <c r="N18" s="154"/>
      <c r="O18" s="154"/>
    </row>
    <row r="19" spans="1:15" s="138" customFormat="1" ht="31.5" x14ac:dyDescent="0.25">
      <c r="A19" s="255" t="s">
        <v>191</v>
      </c>
      <c r="B19" s="191" t="s">
        <v>29</v>
      </c>
      <c r="C19" s="4" t="s">
        <v>30</v>
      </c>
      <c r="D19" s="156" t="s">
        <v>192</v>
      </c>
      <c r="E19" s="325"/>
      <c r="F19" s="159">
        <f>F20</f>
        <v>9374.2999999999993</v>
      </c>
      <c r="G19" s="306"/>
      <c r="H19" s="522">
        <f>H20</f>
        <v>3451.3</v>
      </c>
      <c r="I19" s="522"/>
      <c r="J19" s="522">
        <f t="shared" si="1"/>
        <v>3451.3</v>
      </c>
      <c r="K19" s="522"/>
      <c r="L19" s="154"/>
      <c r="N19" s="154"/>
      <c r="O19" s="154"/>
    </row>
    <row r="20" spans="1:15" s="138" customFormat="1" x14ac:dyDescent="0.25">
      <c r="A20" s="255" t="s">
        <v>193</v>
      </c>
      <c r="B20" s="191" t="s">
        <v>29</v>
      </c>
      <c r="C20" s="4" t="s">
        <v>30</v>
      </c>
      <c r="D20" s="156" t="s">
        <v>194</v>
      </c>
      <c r="E20" s="325"/>
      <c r="F20" s="159">
        <f>'ведом. 2025-2027'!AD18</f>
        <v>9374.2999999999993</v>
      </c>
      <c r="G20" s="306"/>
      <c r="H20" s="522">
        <f>'ведом. 2025-2027'!AE18</f>
        <v>3451.3</v>
      </c>
      <c r="I20" s="522"/>
      <c r="J20" s="522">
        <f t="shared" si="1"/>
        <v>3451.3</v>
      </c>
      <c r="K20" s="522"/>
      <c r="L20" s="154"/>
      <c r="N20" s="154"/>
      <c r="O20" s="154"/>
    </row>
    <row r="21" spans="1:15" s="138" customFormat="1" ht="47.25" x14ac:dyDescent="0.25">
      <c r="A21" s="375" t="s">
        <v>41</v>
      </c>
      <c r="B21" s="191" t="s">
        <v>29</v>
      </c>
      <c r="C21" s="4" t="s">
        <v>30</v>
      </c>
      <c r="D21" s="156" t="s">
        <v>194</v>
      </c>
      <c r="E21" s="325">
        <v>100</v>
      </c>
      <c r="F21" s="159">
        <f>F22</f>
        <v>9374.2999999999993</v>
      </c>
      <c r="G21" s="306"/>
      <c r="H21" s="522">
        <f>H22</f>
        <v>3451.3</v>
      </c>
      <c r="I21" s="522"/>
      <c r="J21" s="522">
        <f t="shared" si="1"/>
        <v>3451.3</v>
      </c>
      <c r="K21" s="522"/>
      <c r="L21" s="154"/>
      <c r="N21" s="154"/>
      <c r="O21" s="154"/>
    </row>
    <row r="22" spans="1:15" s="138" customFormat="1" x14ac:dyDescent="0.25">
      <c r="A22" s="375" t="s">
        <v>96</v>
      </c>
      <c r="B22" s="191" t="s">
        <v>29</v>
      </c>
      <c r="C22" s="4" t="s">
        <v>30</v>
      </c>
      <c r="D22" s="156" t="s">
        <v>194</v>
      </c>
      <c r="E22" s="325">
        <v>120</v>
      </c>
      <c r="F22" s="159">
        <f>'ведом. 2025-2027'!AD20</f>
        <v>9374.2999999999993</v>
      </c>
      <c r="G22" s="306"/>
      <c r="H22" s="522">
        <f>'ведом. 2025-2027'!AE20</f>
        <v>3451.3</v>
      </c>
      <c r="I22" s="522"/>
      <c r="J22" s="522">
        <f>'ведом. 2025-2027'!AF20</f>
        <v>3451.3</v>
      </c>
      <c r="K22" s="522"/>
      <c r="L22" s="154"/>
      <c r="N22" s="154"/>
      <c r="O22" s="154"/>
    </row>
    <row r="23" spans="1:15" s="138" customFormat="1" ht="31.5" x14ac:dyDescent="0.25">
      <c r="A23" s="375" t="s">
        <v>28</v>
      </c>
      <c r="B23" s="191" t="s">
        <v>29</v>
      </c>
      <c r="C23" s="4" t="s">
        <v>7</v>
      </c>
      <c r="D23" s="308"/>
      <c r="E23" s="325"/>
      <c r="F23" s="159">
        <f>F30+F24</f>
        <v>19070.3</v>
      </c>
      <c r="G23" s="522"/>
      <c r="H23" s="522">
        <f t="shared" ref="H23:J23" si="2">H30+H24</f>
        <v>16740.900000000001</v>
      </c>
      <c r="I23" s="522"/>
      <c r="J23" s="522">
        <f t="shared" si="2"/>
        <v>16740.900000000001</v>
      </c>
      <c r="K23" s="522"/>
      <c r="L23" s="154"/>
      <c r="N23" s="154"/>
      <c r="O23" s="154"/>
    </row>
    <row r="24" spans="1:15" s="519" customFormat="1" x14ac:dyDescent="0.25">
      <c r="A24" s="457" t="s">
        <v>186</v>
      </c>
      <c r="B24" s="453" t="s">
        <v>29</v>
      </c>
      <c r="C24" s="454" t="s">
        <v>7</v>
      </c>
      <c r="D24" s="458" t="s">
        <v>112</v>
      </c>
      <c r="E24" s="456"/>
      <c r="F24" s="522">
        <f>F25</f>
        <v>20</v>
      </c>
      <c r="G24" s="522"/>
      <c r="H24" s="522">
        <f t="shared" ref="H24:J28" si="3">H25</f>
        <v>0</v>
      </c>
      <c r="I24" s="522"/>
      <c r="J24" s="522">
        <f t="shared" si="3"/>
        <v>0</v>
      </c>
      <c r="K24" s="522"/>
      <c r="L24" s="521"/>
      <c r="N24" s="521"/>
      <c r="O24" s="521"/>
    </row>
    <row r="25" spans="1:15" s="519" customFormat="1" x14ac:dyDescent="0.25">
      <c r="A25" s="457" t="s">
        <v>189</v>
      </c>
      <c r="B25" s="453" t="s">
        <v>29</v>
      </c>
      <c r="C25" s="454" t="s">
        <v>7</v>
      </c>
      <c r="D25" s="458" t="s">
        <v>190</v>
      </c>
      <c r="E25" s="456"/>
      <c r="F25" s="522">
        <f>F26</f>
        <v>20</v>
      </c>
      <c r="G25" s="522"/>
      <c r="H25" s="522">
        <f t="shared" si="3"/>
        <v>0</v>
      </c>
      <c r="I25" s="522"/>
      <c r="J25" s="522">
        <f t="shared" si="3"/>
        <v>0</v>
      </c>
      <c r="K25" s="522"/>
      <c r="L25" s="521"/>
      <c r="N25" s="521"/>
      <c r="O25" s="521"/>
    </row>
    <row r="26" spans="1:15" s="519" customFormat="1" ht="31.5" x14ac:dyDescent="0.25">
      <c r="A26" s="451" t="s">
        <v>534</v>
      </c>
      <c r="B26" s="453" t="s">
        <v>29</v>
      </c>
      <c r="C26" s="454" t="s">
        <v>7</v>
      </c>
      <c r="D26" s="464" t="s">
        <v>535</v>
      </c>
      <c r="E26" s="460"/>
      <c r="F26" s="522">
        <f>F27</f>
        <v>20</v>
      </c>
      <c r="G26" s="522"/>
      <c r="H26" s="522">
        <f t="shared" si="3"/>
        <v>0</v>
      </c>
      <c r="I26" s="522"/>
      <c r="J26" s="522">
        <f t="shared" si="3"/>
        <v>0</v>
      </c>
      <c r="K26" s="522"/>
      <c r="L26" s="521"/>
      <c r="N26" s="521"/>
      <c r="O26" s="521"/>
    </row>
    <row r="27" spans="1:15" s="519" customFormat="1" ht="78.75" x14ac:dyDescent="0.25">
      <c r="A27" s="451" t="s">
        <v>406</v>
      </c>
      <c r="B27" s="453" t="s">
        <v>29</v>
      </c>
      <c r="C27" s="454" t="s">
        <v>7</v>
      </c>
      <c r="D27" s="458" t="s">
        <v>536</v>
      </c>
      <c r="E27" s="460"/>
      <c r="F27" s="522">
        <f>F28</f>
        <v>20</v>
      </c>
      <c r="G27" s="522"/>
      <c r="H27" s="522">
        <f t="shared" si="3"/>
        <v>0</v>
      </c>
      <c r="I27" s="522"/>
      <c r="J27" s="522">
        <f t="shared" si="3"/>
        <v>0</v>
      </c>
      <c r="K27" s="522"/>
      <c r="L27" s="521"/>
      <c r="N27" s="521"/>
      <c r="O27" s="521"/>
    </row>
    <row r="28" spans="1:15" s="519" customFormat="1" x14ac:dyDescent="0.25">
      <c r="A28" s="451" t="s">
        <v>120</v>
      </c>
      <c r="B28" s="453" t="s">
        <v>29</v>
      </c>
      <c r="C28" s="454" t="s">
        <v>7</v>
      </c>
      <c r="D28" s="458" t="s">
        <v>536</v>
      </c>
      <c r="E28" s="460">
        <v>200</v>
      </c>
      <c r="F28" s="522">
        <f>F29</f>
        <v>20</v>
      </c>
      <c r="G28" s="522"/>
      <c r="H28" s="522">
        <f t="shared" si="3"/>
        <v>0</v>
      </c>
      <c r="I28" s="522"/>
      <c r="J28" s="522">
        <f t="shared" si="3"/>
        <v>0</v>
      </c>
      <c r="K28" s="522"/>
      <c r="L28" s="521"/>
      <c r="N28" s="521"/>
      <c r="O28" s="521"/>
    </row>
    <row r="29" spans="1:15" s="519" customFormat="1" ht="31.5" x14ac:dyDescent="0.25">
      <c r="A29" s="451" t="s">
        <v>52</v>
      </c>
      <c r="B29" s="453" t="s">
        <v>29</v>
      </c>
      <c r="C29" s="454" t="s">
        <v>7</v>
      </c>
      <c r="D29" s="458" t="s">
        <v>536</v>
      </c>
      <c r="E29" s="460">
        <v>240</v>
      </c>
      <c r="F29" s="522">
        <f>'ведом. 2025-2027'!AD508</f>
        <v>20</v>
      </c>
      <c r="G29" s="524"/>
      <c r="H29" s="522">
        <f>'ведом. 2025-2027'!AE508</f>
        <v>0</v>
      </c>
      <c r="I29" s="522"/>
      <c r="J29" s="522">
        <f>'ведом. 2025-2027'!AF508</f>
        <v>0</v>
      </c>
      <c r="K29" s="522"/>
      <c r="L29" s="521"/>
      <c r="N29" s="521"/>
      <c r="O29" s="521"/>
    </row>
    <row r="30" spans="1:15" s="138" customFormat="1" ht="31.5" x14ac:dyDescent="0.25">
      <c r="A30" s="255" t="s">
        <v>274</v>
      </c>
      <c r="B30" s="191" t="s">
        <v>29</v>
      </c>
      <c r="C30" s="4" t="s">
        <v>7</v>
      </c>
      <c r="D30" s="156" t="s">
        <v>99</v>
      </c>
      <c r="E30" s="325"/>
      <c r="F30" s="159">
        <f>F31+F34+F37</f>
        <v>19050.3</v>
      </c>
      <c r="G30" s="306"/>
      <c r="H30" s="522">
        <f>H31+H34+H37</f>
        <v>16740.900000000001</v>
      </c>
      <c r="I30" s="522"/>
      <c r="J30" s="522">
        <f>J31+J34+J37</f>
        <v>16740.900000000001</v>
      </c>
      <c r="K30" s="522"/>
      <c r="L30" s="154"/>
      <c r="N30" s="154"/>
      <c r="O30" s="154"/>
    </row>
    <row r="31" spans="1:15" s="138" customFormat="1" x14ac:dyDescent="0.25">
      <c r="A31" s="380" t="s">
        <v>281</v>
      </c>
      <c r="B31" s="191" t="s">
        <v>29</v>
      </c>
      <c r="C31" s="4" t="s">
        <v>7</v>
      </c>
      <c r="D31" s="156" t="s">
        <v>284</v>
      </c>
      <c r="E31" s="326"/>
      <c r="F31" s="159">
        <f>F32</f>
        <v>3495</v>
      </c>
      <c r="G31" s="306"/>
      <c r="H31" s="522">
        <f>H32</f>
        <v>2936</v>
      </c>
      <c r="I31" s="522"/>
      <c r="J31" s="522">
        <f>J32</f>
        <v>2936</v>
      </c>
      <c r="K31" s="522"/>
      <c r="L31" s="154"/>
      <c r="N31" s="154"/>
      <c r="O31" s="154"/>
    </row>
    <row r="32" spans="1:15" s="138" customFormat="1" ht="47.25" x14ac:dyDescent="0.25">
      <c r="A32" s="375" t="s">
        <v>41</v>
      </c>
      <c r="B32" s="191" t="s">
        <v>29</v>
      </c>
      <c r="C32" s="4" t="s">
        <v>7</v>
      </c>
      <c r="D32" s="156" t="s">
        <v>284</v>
      </c>
      <c r="E32" s="325">
        <v>100</v>
      </c>
      <c r="F32" s="159">
        <f>F33</f>
        <v>3495</v>
      </c>
      <c r="G32" s="306"/>
      <c r="H32" s="522">
        <f>H33</f>
        <v>2936</v>
      </c>
      <c r="I32" s="522"/>
      <c r="J32" s="522">
        <f>J33</f>
        <v>2936</v>
      </c>
      <c r="K32" s="522"/>
      <c r="L32" s="154"/>
      <c r="N32" s="154"/>
      <c r="O32" s="154"/>
    </row>
    <row r="33" spans="1:15" s="138" customFormat="1" x14ac:dyDescent="0.25">
      <c r="A33" s="375" t="s">
        <v>96</v>
      </c>
      <c r="B33" s="191" t="s">
        <v>29</v>
      </c>
      <c r="C33" s="4" t="s">
        <v>7</v>
      </c>
      <c r="D33" s="156" t="s">
        <v>284</v>
      </c>
      <c r="E33" s="326">
        <v>120</v>
      </c>
      <c r="F33" s="159">
        <f>'ведом. 2025-2027'!AD512</f>
        <v>3495</v>
      </c>
      <c r="G33" s="306"/>
      <c r="H33" s="522">
        <f>'ведом. 2025-2027'!AE512</f>
        <v>2936</v>
      </c>
      <c r="I33" s="522"/>
      <c r="J33" s="522">
        <f>'ведом. 2025-2027'!AF512</f>
        <v>2936</v>
      </c>
      <c r="K33" s="522"/>
      <c r="L33" s="154"/>
      <c r="N33" s="154"/>
      <c r="O33" s="154"/>
    </row>
    <row r="34" spans="1:15" s="138" customFormat="1" x14ac:dyDescent="0.25">
      <c r="A34" s="375" t="s">
        <v>329</v>
      </c>
      <c r="B34" s="191" t="s">
        <v>29</v>
      </c>
      <c r="C34" s="4" t="s">
        <v>7</v>
      </c>
      <c r="D34" s="156" t="s">
        <v>285</v>
      </c>
      <c r="E34" s="326"/>
      <c r="F34" s="159">
        <f>F36</f>
        <v>2501</v>
      </c>
      <c r="G34" s="306"/>
      <c r="H34" s="522">
        <f>H36</f>
        <v>2279.5</v>
      </c>
      <c r="I34" s="522"/>
      <c r="J34" s="522">
        <f>J36</f>
        <v>2279.5</v>
      </c>
      <c r="K34" s="522"/>
      <c r="L34" s="154"/>
      <c r="N34" s="154"/>
      <c r="O34" s="154"/>
    </row>
    <row r="35" spans="1:15" s="138" customFormat="1" ht="47.25" x14ac:dyDescent="0.25">
      <c r="A35" s="375" t="s">
        <v>41</v>
      </c>
      <c r="B35" s="191" t="s">
        <v>29</v>
      </c>
      <c r="C35" s="4" t="s">
        <v>7</v>
      </c>
      <c r="D35" s="156" t="s">
        <v>285</v>
      </c>
      <c r="E35" s="325">
        <v>100</v>
      </c>
      <c r="F35" s="159">
        <f>F36</f>
        <v>2501</v>
      </c>
      <c r="G35" s="306"/>
      <c r="H35" s="522">
        <f>H36</f>
        <v>2279.5</v>
      </c>
      <c r="I35" s="522"/>
      <c r="J35" s="522">
        <f>J36</f>
        <v>2279.5</v>
      </c>
      <c r="K35" s="522"/>
      <c r="L35" s="154"/>
      <c r="N35" s="154"/>
      <c r="O35" s="154"/>
    </row>
    <row r="36" spans="1:15" s="138" customFormat="1" x14ac:dyDescent="0.25">
      <c r="A36" s="375" t="s">
        <v>96</v>
      </c>
      <c r="B36" s="191" t="s">
        <v>29</v>
      </c>
      <c r="C36" s="4" t="s">
        <v>7</v>
      </c>
      <c r="D36" s="156" t="s">
        <v>285</v>
      </c>
      <c r="E36" s="326">
        <v>120</v>
      </c>
      <c r="F36" s="159">
        <f>'ведом. 2025-2027'!AD515</f>
        <v>2501</v>
      </c>
      <c r="G36" s="306"/>
      <c r="H36" s="522">
        <f>'ведом. 2025-2027'!AE515</f>
        <v>2279.5</v>
      </c>
      <c r="I36" s="522"/>
      <c r="J36" s="522">
        <f>'ведом. 2025-2027'!AF515</f>
        <v>2279.5</v>
      </c>
      <c r="K36" s="522"/>
      <c r="L36" s="154"/>
      <c r="N36" s="154"/>
      <c r="O36" s="154"/>
    </row>
    <row r="37" spans="1:15" s="138" customFormat="1" x14ac:dyDescent="0.25">
      <c r="A37" s="278" t="s">
        <v>282</v>
      </c>
      <c r="B37" s="191" t="s">
        <v>29</v>
      </c>
      <c r="C37" s="4" t="s">
        <v>7</v>
      </c>
      <c r="D37" s="156" t="s">
        <v>283</v>
      </c>
      <c r="E37" s="326"/>
      <c r="F37" s="159">
        <f>F38+F41+F44</f>
        <v>13054.3</v>
      </c>
      <c r="G37" s="306"/>
      <c r="H37" s="522">
        <f>H38+H41+H44</f>
        <v>11525.4</v>
      </c>
      <c r="I37" s="522"/>
      <c r="J37" s="522">
        <f>J38+J41+J44</f>
        <v>11525.4</v>
      </c>
      <c r="K37" s="522"/>
      <c r="L37" s="154"/>
      <c r="N37" s="154"/>
      <c r="O37" s="154"/>
    </row>
    <row r="38" spans="1:15" s="138" customFormat="1" ht="31.5" x14ac:dyDescent="0.25">
      <c r="A38" s="375" t="s">
        <v>286</v>
      </c>
      <c r="B38" s="191" t="s">
        <v>29</v>
      </c>
      <c r="C38" s="4" t="s">
        <v>7</v>
      </c>
      <c r="D38" s="156" t="s">
        <v>287</v>
      </c>
      <c r="E38" s="326"/>
      <c r="F38" s="159">
        <f>F39</f>
        <v>2929.9</v>
      </c>
      <c r="G38" s="306"/>
      <c r="H38" s="522">
        <f>H39</f>
        <v>1849.9</v>
      </c>
      <c r="I38" s="522"/>
      <c r="J38" s="522">
        <f>J39</f>
        <v>1849.9</v>
      </c>
      <c r="K38" s="522"/>
      <c r="L38" s="154"/>
      <c r="N38" s="154"/>
      <c r="O38" s="154"/>
    </row>
    <row r="39" spans="1:15" s="138" customFormat="1" x14ac:dyDescent="0.25">
      <c r="A39" s="375" t="s">
        <v>120</v>
      </c>
      <c r="B39" s="191" t="s">
        <v>29</v>
      </c>
      <c r="C39" s="4" t="s">
        <v>7</v>
      </c>
      <c r="D39" s="156" t="s">
        <v>287</v>
      </c>
      <c r="E39" s="326">
        <v>200</v>
      </c>
      <c r="F39" s="159">
        <f>F40</f>
        <v>2929.9</v>
      </c>
      <c r="G39" s="306"/>
      <c r="H39" s="522">
        <f>H40</f>
        <v>1849.9</v>
      </c>
      <c r="I39" s="522"/>
      <c r="J39" s="522">
        <f>J40</f>
        <v>1849.9</v>
      </c>
      <c r="K39" s="522"/>
      <c r="L39" s="154"/>
      <c r="N39" s="154"/>
      <c r="O39" s="154"/>
    </row>
    <row r="40" spans="1:15" s="138" customFormat="1" ht="31.5" x14ac:dyDescent="0.25">
      <c r="A40" s="375" t="s">
        <v>52</v>
      </c>
      <c r="B40" s="191" t="s">
        <v>29</v>
      </c>
      <c r="C40" s="4" t="s">
        <v>7</v>
      </c>
      <c r="D40" s="156" t="s">
        <v>287</v>
      </c>
      <c r="E40" s="326">
        <v>240</v>
      </c>
      <c r="F40" s="159">
        <f>'ведом. 2025-2027'!AD519</f>
        <v>2929.9</v>
      </c>
      <c r="G40" s="306"/>
      <c r="H40" s="522">
        <f>'ведом. 2025-2027'!AE519</f>
        <v>1849.9</v>
      </c>
      <c r="I40" s="522"/>
      <c r="J40" s="522">
        <f>'ведом. 2025-2027'!AF519</f>
        <v>1849.9</v>
      </c>
      <c r="K40" s="522"/>
      <c r="L40" s="154"/>
      <c r="N40" s="154"/>
      <c r="O40" s="154"/>
    </row>
    <row r="41" spans="1:15" s="138" customFormat="1" ht="47.25" x14ac:dyDescent="0.25">
      <c r="A41" s="375" t="s">
        <v>290</v>
      </c>
      <c r="B41" s="191" t="s">
        <v>29</v>
      </c>
      <c r="C41" s="4" t="s">
        <v>7</v>
      </c>
      <c r="D41" s="156" t="s">
        <v>288</v>
      </c>
      <c r="E41" s="326"/>
      <c r="F41" s="159">
        <f>F42</f>
        <v>5228</v>
      </c>
      <c r="G41" s="306"/>
      <c r="H41" s="522">
        <f>H42</f>
        <v>4779.1000000000004</v>
      </c>
      <c r="I41" s="522"/>
      <c r="J41" s="522">
        <f>J42</f>
        <v>4779.1000000000004</v>
      </c>
      <c r="K41" s="522"/>
      <c r="L41" s="154"/>
      <c r="N41" s="154"/>
      <c r="O41" s="154"/>
    </row>
    <row r="42" spans="1:15" s="138" customFormat="1" ht="47.25" x14ac:dyDescent="0.25">
      <c r="A42" s="375" t="s">
        <v>41</v>
      </c>
      <c r="B42" s="191" t="s">
        <v>29</v>
      </c>
      <c r="C42" s="4" t="s">
        <v>7</v>
      </c>
      <c r="D42" s="156" t="s">
        <v>288</v>
      </c>
      <c r="E42" s="325">
        <v>100</v>
      </c>
      <c r="F42" s="159">
        <f>F43</f>
        <v>5228</v>
      </c>
      <c r="G42" s="306"/>
      <c r="H42" s="522">
        <f>H43</f>
        <v>4779.1000000000004</v>
      </c>
      <c r="I42" s="522"/>
      <c r="J42" s="522">
        <f>J43</f>
        <v>4779.1000000000004</v>
      </c>
      <c r="K42" s="522"/>
      <c r="L42" s="154"/>
      <c r="N42" s="154"/>
      <c r="O42" s="154"/>
    </row>
    <row r="43" spans="1:15" s="138" customFormat="1" x14ac:dyDescent="0.25">
      <c r="A43" s="375" t="s">
        <v>96</v>
      </c>
      <c r="B43" s="191" t="s">
        <v>29</v>
      </c>
      <c r="C43" s="4" t="s">
        <v>7</v>
      </c>
      <c r="D43" s="156" t="s">
        <v>288</v>
      </c>
      <c r="E43" s="326">
        <v>120</v>
      </c>
      <c r="F43" s="159">
        <f>'ведом. 2025-2027'!AD522</f>
        <v>5228</v>
      </c>
      <c r="G43" s="306"/>
      <c r="H43" s="522">
        <f>'ведом. 2025-2027'!AE522</f>
        <v>4779.1000000000004</v>
      </c>
      <c r="I43" s="522"/>
      <c r="J43" s="522">
        <f>'ведом. 2025-2027'!AF522</f>
        <v>4779.1000000000004</v>
      </c>
      <c r="K43" s="522"/>
      <c r="L43" s="154"/>
      <c r="N43" s="154"/>
      <c r="O43" s="154"/>
    </row>
    <row r="44" spans="1:15" s="138" customFormat="1" ht="31.5" x14ac:dyDescent="0.25">
      <c r="A44" s="375" t="s">
        <v>291</v>
      </c>
      <c r="B44" s="191" t="s">
        <v>29</v>
      </c>
      <c r="C44" s="4" t="s">
        <v>7</v>
      </c>
      <c r="D44" s="156" t="s">
        <v>289</v>
      </c>
      <c r="E44" s="326"/>
      <c r="F44" s="159">
        <f>F45</f>
        <v>4896.3999999999996</v>
      </c>
      <c r="G44" s="306"/>
      <c r="H44" s="522">
        <f>H45</f>
        <v>4896.3999999999996</v>
      </c>
      <c r="I44" s="522"/>
      <c r="J44" s="522">
        <f>J45</f>
        <v>4896.3999999999996</v>
      </c>
      <c r="K44" s="522"/>
      <c r="L44" s="154"/>
      <c r="N44" s="154"/>
      <c r="O44" s="154"/>
    </row>
    <row r="45" spans="1:15" s="138" customFormat="1" ht="47.25" x14ac:dyDescent="0.25">
      <c r="A45" s="375" t="s">
        <v>41</v>
      </c>
      <c r="B45" s="191" t="s">
        <v>29</v>
      </c>
      <c r="C45" s="4" t="s">
        <v>7</v>
      </c>
      <c r="D45" s="156" t="s">
        <v>289</v>
      </c>
      <c r="E45" s="325">
        <v>100</v>
      </c>
      <c r="F45" s="159">
        <f>F46</f>
        <v>4896.3999999999996</v>
      </c>
      <c r="G45" s="306"/>
      <c r="H45" s="522">
        <f>H46</f>
        <v>4896.3999999999996</v>
      </c>
      <c r="I45" s="522"/>
      <c r="J45" s="522">
        <f>J46</f>
        <v>4896.3999999999996</v>
      </c>
      <c r="K45" s="522"/>
      <c r="L45" s="154"/>
      <c r="N45" s="154"/>
      <c r="O45" s="154"/>
    </row>
    <row r="46" spans="1:15" s="138" customFormat="1" x14ac:dyDescent="0.25">
      <c r="A46" s="375" t="s">
        <v>96</v>
      </c>
      <c r="B46" s="191" t="s">
        <v>29</v>
      </c>
      <c r="C46" s="4" t="s">
        <v>7</v>
      </c>
      <c r="D46" s="156" t="s">
        <v>289</v>
      </c>
      <c r="E46" s="326">
        <v>120</v>
      </c>
      <c r="F46" s="159">
        <f>'ведом. 2025-2027'!AD525</f>
        <v>4896.3999999999996</v>
      </c>
      <c r="G46" s="306"/>
      <c r="H46" s="522">
        <f>'ведом. 2025-2027'!AE525</f>
        <v>4896.3999999999996</v>
      </c>
      <c r="I46" s="522"/>
      <c r="J46" s="522">
        <f>'ведом. 2025-2027'!AF525</f>
        <v>4896.3999999999996</v>
      </c>
      <c r="K46" s="522"/>
      <c r="L46" s="154"/>
      <c r="N46" s="154"/>
      <c r="O46" s="154"/>
    </row>
    <row r="47" spans="1:15" s="138" customFormat="1" ht="31.5" x14ac:dyDescent="0.25">
      <c r="A47" s="451" t="s">
        <v>705</v>
      </c>
      <c r="B47" s="191" t="s">
        <v>29</v>
      </c>
      <c r="C47" s="4" t="s">
        <v>49</v>
      </c>
      <c r="D47" s="26"/>
      <c r="E47" s="325"/>
      <c r="F47" s="159">
        <f t="shared" ref="F47:K47" si="4">F48+F82+F61</f>
        <v>127381.09999999999</v>
      </c>
      <c r="G47" s="159">
        <f t="shared" si="4"/>
        <v>5178</v>
      </c>
      <c r="H47" s="522">
        <f t="shared" si="4"/>
        <v>100872</v>
      </c>
      <c r="I47" s="522">
        <f t="shared" si="4"/>
        <v>5206</v>
      </c>
      <c r="J47" s="522">
        <f t="shared" si="4"/>
        <v>100785</v>
      </c>
      <c r="K47" s="522">
        <f t="shared" si="4"/>
        <v>5236</v>
      </c>
      <c r="L47" s="154"/>
      <c r="N47" s="154"/>
      <c r="O47" s="154"/>
    </row>
    <row r="48" spans="1:15" s="138" customFormat="1" x14ac:dyDescent="0.25">
      <c r="A48" s="255" t="s">
        <v>292</v>
      </c>
      <c r="B48" s="191" t="s">
        <v>29</v>
      </c>
      <c r="C48" s="4" t="s">
        <v>49</v>
      </c>
      <c r="D48" s="26" t="s">
        <v>109</v>
      </c>
      <c r="E48" s="326"/>
      <c r="F48" s="159">
        <f t="shared" ref="F48:K48" si="5">F49+F56</f>
        <v>5248</v>
      </c>
      <c r="G48" s="306">
        <f t="shared" si="5"/>
        <v>5178</v>
      </c>
      <c r="H48" s="522">
        <f t="shared" si="5"/>
        <v>5206</v>
      </c>
      <c r="I48" s="522">
        <f t="shared" si="5"/>
        <v>5206</v>
      </c>
      <c r="J48" s="522">
        <f t="shared" si="5"/>
        <v>5236</v>
      </c>
      <c r="K48" s="522">
        <f t="shared" si="5"/>
        <v>5236</v>
      </c>
      <c r="L48" s="154"/>
      <c r="N48" s="154"/>
      <c r="O48" s="154"/>
    </row>
    <row r="49" spans="1:15" s="138" customFormat="1" x14ac:dyDescent="0.25">
      <c r="A49" s="255" t="s">
        <v>48</v>
      </c>
      <c r="B49" s="191" t="s">
        <v>29</v>
      </c>
      <c r="C49" s="4" t="s">
        <v>49</v>
      </c>
      <c r="D49" s="26" t="s">
        <v>401</v>
      </c>
      <c r="E49" s="326"/>
      <c r="F49" s="159">
        <f t="shared" ref="F49:K50" si="6">F50</f>
        <v>5178</v>
      </c>
      <c r="G49" s="306">
        <f t="shared" si="6"/>
        <v>5178</v>
      </c>
      <c r="H49" s="522">
        <f t="shared" si="6"/>
        <v>5206</v>
      </c>
      <c r="I49" s="522">
        <f t="shared" si="6"/>
        <v>5206</v>
      </c>
      <c r="J49" s="522">
        <f t="shared" si="6"/>
        <v>5236</v>
      </c>
      <c r="K49" s="522">
        <f t="shared" si="6"/>
        <v>5236</v>
      </c>
      <c r="L49" s="154"/>
      <c r="N49" s="154"/>
      <c r="O49" s="154"/>
    </row>
    <row r="50" spans="1:15" s="138" customFormat="1" ht="47.25" x14ac:dyDescent="0.25">
      <c r="A50" s="255" t="s">
        <v>519</v>
      </c>
      <c r="B50" s="191" t="s">
        <v>29</v>
      </c>
      <c r="C50" s="4" t="s">
        <v>49</v>
      </c>
      <c r="D50" s="26" t="s">
        <v>518</v>
      </c>
      <c r="E50" s="326"/>
      <c r="F50" s="159">
        <f t="shared" si="6"/>
        <v>5178</v>
      </c>
      <c r="G50" s="306">
        <f t="shared" si="6"/>
        <v>5178</v>
      </c>
      <c r="H50" s="522">
        <f t="shared" si="6"/>
        <v>5206</v>
      </c>
      <c r="I50" s="522">
        <f t="shared" si="6"/>
        <v>5206</v>
      </c>
      <c r="J50" s="522">
        <f t="shared" si="6"/>
        <v>5236</v>
      </c>
      <c r="K50" s="522">
        <f t="shared" si="6"/>
        <v>5236</v>
      </c>
      <c r="L50" s="154"/>
      <c r="N50" s="154"/>
      <c r="O50" s="154"/>
    </row>
    <row r="51" spans="1:15" s="138" customFormat="1" ht="47.25" x14ac:dyDescent="0.25">
      <c r="A51" s="375" t="s">
        <v>358</v>
      </c>
      <c r="B51" s="191" t="s">
        <v>29</v>
      </c>
      <c r="C51" s="4" t="s">
        <v>49</v>
      </c>
      <c r="D51" s="26" t="s">
        <v>520</v>
      </c>
      <c r="E51" s="326"/>
      <c r="F51" s="159">
        <f t="shared" ref="F51:K51" si="7">F52+F54</f>
        <v>5178</v>
      </c>
      <c r="G51" s="306">
        <f t="shared" si="7"/>
        <v>5178</v>
      </c>
      <c r="H51" s="522">
        <f t="shared" si="7"/>
        <v>5206</v>
      </c>
      <c r="I51" s="522">
        <f t="shared" si="7"/>
        <v>5206</v>
      </c>
      <c r="J51" s="522">
        <f t="shared" si="7"/>
        <v>5236</v>
      </c>
      <c r="K51" s="522">
        <f t="shared" si="7"/>
        <v>5236</v>
      </c>
      <c r="L51" s="154"/>
      <c r="N51" s="154"/>
      <c r="O51" s="154"/>
    </row>
    <row r="52" spans="1:15" s="138" customFormat="1" ht="47.25" x14ac:dyDescent="0.25">
      <c r="A52" s="253" t="s">
        <v>41</v>
      </c>
      <c r="B52" s="191" t="s">
        <v>29</v>
      </c>
      <c r="C52" s="4" t="s">
        <v>49</v>
      </c>
      <c r="D52" s="26" t="s">
        <v>520</v>
      </c>
      <c r="E52" s="325">
        <v>100</v>
      </c>
      <c r="F52" s="159">
        <f t="shared" ref="F52:K52" si="8">F53</f>
        <v>4651.3999999999996</v>
      </c>
      <c r="G52" s="306">
        <f t="shared" si="8"/>
        <v>4651.3999999999996</v>
      </c>
      <c r="H52" s="522">
        <f t="shared" si="8"/>
        <v>4659.6000000000004</v>
      </c>
      <c r="I52" s="522">
        <f t="shared" si="8"/>
        <v>4659.6000000000004</v>
      </c>
      <c r="J52" s="522">
        <f t="shared" si="8"/>
        <v>4669.1000000000004</v>
      </c>
      <c r="K52" s="522">
        <f t="shared" si="8"/>
        <v>4669.1000000000004</v>
      </c>
      <c r="L52" s="154"/>
      <c r="N52" s="154"/>
      <c r="O52" s="154"/>
    </row>
    <row r="53" spans="1:15" s="138" customFormat="1" x14ac:dyDescent="0.25">
      <c r="A53" s="253" t="s">
        <v>96</v>
      </c>
      <c r="B53" s="191" t="s">
        <v>29</v>
      </c>
      <c r="C53" s="4" t="s">
        <v>49</v>
      </c>
      <c r="D53" s="26" t="s">
        <v>520</v>
      </c>
      <c r="E53" s="326">
        <v>120</v>
      </c>
      <c r="F53" s="159">
        <f>'ведом. 2025-2027'!AD27</f>
        <v>4651.3999999999996</v>
      </c>
      <c r="G53" s="306">
        <f>F53</f>
        <v>4651.3999999999996</v>
      </c>
      <c r="H53" s="522">
        <f>'ведом. 2025-2027'!AE27</f>
        <v>4659.6000000000004</v>
      </c>
      <c r="I53" s="522">
        <f>H53</f>
        <v>4659.6000000000004</v>
      </c>
      <c r="J53" s="522">
        <f>'ведом. 2025-2027'!AF27</f>
        <v>4669.1000000000004</v>
      </c>
      <c r="K53" s="522">
        <f>J53</f>
        <v>4669.1000000000004</v>
      </c>
      <c r="L53" s="154"/>
      <c r="N53" s="154"/>
      <c r="O53" s="154"/>
    </row>
    <row r="54" spans="1:15" s="138" customFormat="1" x14ac:dyDescent="0.25">
      <c r="A54" s="253" t="s">
        <v>120</v>
      </c>
      <c r="B54" s="191" t="s">
        <v>29</v>
      </c>
      <c r="C54" s="4" t="s">
        <v>49</v>
      </c>
      <c r="D54" s="26" t="s">
        <v>520</v>
      </c>
      <c r="E54" s="326">
        <v>200</v>
      </c>
      <c r="F54" s="159">
        <f t="shared" ref="F54:K54" si="9">F55</f>
        <v>526.6</v>
      </c>
      <c r="G54" s="306">
        <f t="shared" si="9"/>
        <v>526.6</v>
      </c>
      <c r="H54" s="522">
        <f t="shared" si="9"/>
        <v>546.4</v>
      </c>
      <c r="I54" s="522">
        <f t="shared" si="9"/>
        <v>546.4</v>
      </c>
      <c r="J54" s="522">
        <f t="shared" si="9"/>
        <v>566.9</v>
      </c>
      <c r="K54" s="522">
        <f t="shared" si="9"/>
        <v>566.9</v>
      </c>
      <c r="L54" s="154"/>
      <c r="N54" s="154"/>
      <c r="O54" s="154"/>
    </row>
    <row r="55" spans="1:15" s="138" customFormat="1" ht="31.5" x14ac:dyDescent="0.25">
      <c r="A55" s="253" t="s">
        <v>52</v>
      </c>
      <c r="B55" s="191" t="s">
        <v>29</v>
      </c>
      <c r="C55" s="4" t="s">
        <v>49</v>
      </c>
      <c r="D55" s="26" t="s">
        <v>520</v>
      </c>
      <c r="E55" s="326">
        <v>240</v>
      </c>
      <c r="F55" s="159">
        <f>'ведом. 2025-2027'!AD29</f>
        <v>526.6</v>
      </c>
      <c r="G55" s="306">
        <f>F55</f>
        <v>526.6</v>
      </c>
      <c r="H55" s="522">
        <f>'ведом. 2025-2027'!AE29</f>
        <v>546.4</v>
      </c>
      <c r="I55" s="522">
        <f>H55</f>
        <v>546.4</v>
      </c>
      <c r="J55" s="522">
        <f>'ведом. 2025-2027'!AF29</f>
        <v>566.9</v>
      </c>
      <c r="K55" s="522">
        <f>J55</f>
        <v>566.9</v>
      </c>
      <c r="L55" s="154"/>
      <c r="N55" s="154"/>
      <c r="O55" s="154"/>
    </row>
    <row r="56" spans="1:15" s="177" customFormat="1" ht="31.5" x14ac:dyDescent="0.25">
      <c r="A56" s="253" t="s">
        <v>567</v>
      </c>
      <c r="B56" s="191" t="s">
        <v>29</v>
      </c>
      <c r="C56" s="4" t="s">
        <v>49</v>
      </c>
      <c r="D56" s="309" t="s">
        <v>570</v>
      </c>
      <c r="E56" s="326"/>
      <c r="F56" s="159">
        <f>F57</f>
        <v>70</v>
      </c>
      <c r="G56" s="306"/>
      <c r="H56" s="522">
        <f t="shared" ref="H56:J59" si="10">H57</f>
        <v>0</v>
      </c>
      <c r="I56" s="522"/>
      <c r="J56" s="522">
        <f t="shared" si="10"/>
        <v>0</v>
      </c>
      <c r="K56" s="522"/>
      <c r="L56" s="154"/>
      <c r="N56" s="154"/>
      <c r="O56" s="154"/>
    </row>
    <row r="57" spans="1:15" s="177" customFormat="1" ht="31.5" x14ac:dyDescent="0.25">
      <c r="A57" s="376" t="s">
        <v>568</v>
      </c>
      <c r="B57" s="191" t="s">
        <v>29</v>
      </c>
      <c r="C57" s="4" t="s">
        <v>49</v>
      </c>
      <c r="D57" s="309" t="s">
        <v>571</v>
      </c>
      <c r="E57" s="326"/>
      <c r="F57" s="159">
        <f>F58</f>
        <v>70</v>
      </c>
      <c r="G57" s="306"/>
      <c r="H57" s="522">
        <f t="shared" si="10"/>
        <v>0</v>
      </c>
      <c r="I57" s="522"/>
      <c r="J57" s="522">
        <f t="shared" si="10"/>
        <v>0</v>
      </c>
      <c r="K57" s="522"/>
      <c r="L57" s="154"/>
      <c r="N57" s="154"/>
      <c r="O57" s="154"/>
    </row>
    <row r="58" spans="1:15" s="177" customFormat="1" ht="31.5" x14ac:dyDescent="0.25">
      <c r="A58" s="376" t="s">
        <v>569</v>
      </c>
      <c r="B58" s="191" t="s">
        <v>29</v>
      </c>
      <c r="C58" s="4" t="s">
        <v>49</v>
      </c>
      <c r="D58" s="309" t="s">
        <v>572</v>
      </c>
      <c r="E58" s="326"/>
      <c r="F58" s="159">
        <f>F59</f>
        <v>70</v>
      </c>
      <c r="G58" s="306"/>
      <c r="H58" s="522">
        <f t="shared" si="10"/>
        <v>0</v>
      </c>
      <c r="I58" s="522"/>
      <c r="J58" s="522">
        <f t="shared" si="10"/>
        <v>0</v>
      </c>
      <c r="K58" s="522"/>
      <c r="L58" s="154"/>
      <c r="N58" s="154"/>
      <c r="O58" s="154"/>
    </row>
    <row r="59" spans="1:15" s="177" customFormat="1" x14ac:dyDescent="0.25">
      <c r="A59" s="253" t="s">
        <v>120</v>
      </c>
      <c r="B59" s="191" t="s">
        <v>29</v>
      </c>
      <c r="C59" s="4" t="s">
        <v>49</v>
      </c>
      <c r="D59" s="309" t="s">
        <v>572</v>
      </c>
      <c r="E59" s="326">
        <v>200</v>
      </c>
      <c r="F59" s="159">
        <f>F60</f>
        <v>70</v>
      </c>
      <c r="G59" s="306"/>
      <c r="H59" s="522">
        <f t="shared" si="10"/>
        <v>0</v>
      </c>
      <c r="I59" s="522"/>
      <c r="J59" s="522">
        <f t="shared" si="10"/>
        <v>0</v>
      </c>
      <c r="K59" s="522"/>
      <c r="L59" s="154"/>
      <c r="N59" s="154"/>
      <c r="O59" s="154"/>
    </row>
    <row r="60" spans="1:15" s="177" customFormat="1" ht="31.5" x14ac:dyDescent="0.25">
      <c r="A60" s="253" t="s">
        <v>52</v>
      </c>
      <c r="B60" s="191" t="s">
        <v>29</v>
      </c>
      <c r="C60" s="4" t="s">
        <v>49</v>
      </c>
      <c r="D60" s="309" t="s">
        <v>572</v>
      </c>
      <c r="E60" s="326">
        <v>240</v>
      </c>
      <c r="F60" s="159">
        <f>'ведом. 2025-2027'!AD34</f>
        <v>70</v>
      </c>
      <c r="G60" s="306"/>
      <c r="H60" s="522">
        <f>'ведом. 2025-2027'!AE34</f>
        <v>0</v>
      </c>
      <c r="I60" s="522"/>
      <c r="J60" s="522">
        <f>'ведом. 2025-2027'!AF34</f>
        <v>0</v>
      </c>
      <c r="K60" s="522"/>
      <c r="L60" s="154"/>
      <c r="N60" s="154"/>
      <c r="O60" s="154"/>
    </row>
    <row r="61" spans="1:15" s="177" customFormat="1" x14ac:dyDescent="0.25">
      <c r="A61" s="255" t="s">
        <v>186</v>
      </c>
      <c r="B61" s="191" t="s">
        <v>29</v>
      </c>
      <c r="C61" s="4" t="s">
        <v>49</v>
      </c>
      <c r="D61" s="156" t="s">
        <v>112</v>
      </c>
      <c r="E61" s="326"/>
      <c r="F61" s="159">
        <f>F62</f>
        <v>112724.7</v>
      </c>
      <c r="G61" s="306"/>
      <c r="H61" s="522">
        <f>H62</f>
        <v>92666</v>
      </c>
      <c r="I61" s="522"/>
      <c r="J61" s="522">
        <f>J62</f>
        <v>92549</v>
      </c>
      <c r="K61" s="522"/>
      <c r="L61" s="154"/>
      <c r="N61" s="154"/>
      <c r="O61" s="154"/>
    </row>
    <row r="62" spans="1:15" s="138" customFormat="1" x14ac:dyDescent="0.25">
      <c r="A62" s="255" t="s">
        <v>189</v>
      </c>
      <c r="B62" s="191" t="s">
        <v>29</v>
      </c>
      <c r="C62" s="4" t="s">
        <v>49</v>
      </c>
      <c r="D62" s="156" t="s">
        <v>190</v>
      </c>
      <c r="E62" s="326"/>
      <c r="F62" s="159">
        <f>F63+F78</f>
        <v>112724.7</v>
      </c>
      <c r="G62" s="306"/>
      <c r="H62" s="522">
        <f>H63+H78</f>
        <v>92666</v>
      </c>
      <c r="I62" s="522"/>
      <c r="J62" s="522">
        <f>J63+J78</f>
        <v>92549</v>
      </c>
      <c r="K62" s="522"/>
      <c r="L62" s="154"/>
      <c r="N62" s="154"/>
      <c r="O62" s="154"/>
    </row>
    <row r="63" spans="1:15" s="138" customFormat="1" ht="31.5" x14ac:dyDescent="0.25">
      <c r="A63" s="255" t="s">
        <v>191</v>
      </c>
      <c r="B63" s="191" t="s">
        <v>29</v>
      </c>
      <c r="C63" s="4" t="s">
        <v>49</v>
      </c>
      <c r="D63" s="156" t="s">
        <v>192</v>
      </c>
      <c r="E63" s="326"/>
      <c r="F63" s="159">
        <f>F64</f>
        <v>112210.7</v>
      </c>
      <c r="G63" s="306"/>
      <c r="H63" s="522">
        <f>H64</f>
        <v>92283</v>
      </c>
      <c r="I63" s="522"/>
      <c r="J63" s="522">
        <f>J64</f>
        <v>92283</v>
      </c>
      <c r="K63" s="522"/>
      <c r="L63" s="154"/>
      <c r="N63" s="154"/>
      <c r="O63" s="154"/>
    </row>
    <row r="64" spans="1:15" s="138" customFormat="1" x14ac:dyDescent="0.25">
      <c r="A64" s="255" t="s">
        <v>195</v>
      </c>
      <c r="B64" s="191" t="s">
        <v>29</v>
      </c>
      <c r="C64" s="4" t="s">
        <v>49</v>
      </c>
      <c r="D64" s="156" t="s">
        <v>196</v>
      </c>
      <c r="E64" s="326"/>
      <c r="F64" s="159">
        <f>F65+F72+F75</f>
        <v>112210.7</v>
      </c>
      <c r="G64" s="306"/>
      <c r="H64" s="522">
        <f>H65+H72+H75</f>
        <v>92283</v>
      </c>
      <c r="I64" s="522"/>
      <c r="J64" s="522">
        <f>J65+J72+J75</f>
        <v>92283</v>
      </c>
      <c r="K64" s="522"/>
      <c r="L64" s="154"/>
      <c r="N64" s="154"/>
      <c r="O64" s="154"/>
    </row>
    <row r="65" spans="1:15" s="138" customFormat="1" ht="31.5" x14ac:dyDescent="0.25">
      <c r="A65" s="382" t="s">
        <v>197</v>
      </c>
      <c r="B65" s="184" t="s">
        <v>29</v>
      </c>
      <c r="C65" s="187" t="s">
        <v>49</v>
      </c>
      <c r="D65" s="156" t="s">
        <v>198</v>
      </c>
      <c r="E65" s="326"/>
      <c r="F65" s="159">
        <f>F68+F66+F70</f>
        <v>11242.3</v>
      </c>
      <c r="G65" s="522"/>
      <c r="H65" s="522">
        <f t="shared" ref="H65:J65" si="11">H68+H66+H70</f>
        <v>9487.2999999999993</v>
      </c>
      <c r="I65" s="522"/>
      <c r="J65" s="522">
        <f t="shared" si="11"/>
        <v>9487.2999999999993</v>
      </c>
      <c r="K65" s="522"/>
      <c r="L65" s="154"/>
      <c r="N65" s="154"/>
      <c r="O65" s="154"/>
    </row>
    <row r="66" spans="1:15" s="177" customFormat="1" ht="47.25" x14ac:dyDescent="0.25">
      <c r="A66" s="375" t="s">
        <v>41</v>
      </c>
      <c r="B66" s="191" t="s">
        <v>29</v>
      </c>
      <c r="C66" s="4" t="s">
        <v>49</v>
      </c>
      <c r="D66" s="156" t="s">
        <v>198</v>
      </c>
      <c r="E66" s="325">
        <v>100</v>
      </c>
      <c r="F66" s="159">
        <f>F67</f>
        <v>50</v>
      </c>
      <c r="G66" s="159"/>
      <c r="H66" s="522">
        <f>H67</f>
        <v>50</v>
      </c>
      <c r="I66" s="522"/>
      <c r="J66" s="522">
        <f>J67</f>
        <v>50</v>
      </c>
      <c r="K66" s="522"/>
      <c r="L66" s="154"/>
      <c r="N66" s="154"/>
      <c r="O66" s="154"/>
    </row>
    <row r="67" spans="1:15" s="177" customFormat="1" x14ac:dyDescent="0.25">
      <c r="A67" s="375" t="s">
        <v>96</v>
      </c>
      <c r="B67" s="191" t="s">
        <v>29</v>
      </c>
      <c r="C67" s="4" t="s">
        <v>49</v>
      </c>
      <c r="D67" s="156" t="s">
        <v>198</v>
      </c>
      <c r="E67" s="326">
        <v>120</v>
      </c>
      <c r="F67" s="159">
        <f>'ведом. 2025-2027'!AD41</f>
        <v>50</v>
      </c>
      <c r="G67" s="306"/>
      <c r="H67" s="522">
        <f>'ведом. 2025-2027'!AE41</f>
        <v>50</v>
      </c>
      <c r="I67" s="522"/>
      <c r="J67" s="522">
        <f>'ведом. 2025-2027'!AF41</f>
        <v>50</v>
      </c>
      <c r="K67" s="522"/>
      <c r="L67" s="154"/>
      <c r="N67" s="154"/>
      <c r="O67" s="154"/>
    </row>
    <row r="68" spans="1:15" s="138" customFormat="1" x14ac:dyDescent="0.25">
      <c r="A68" s="375" t="s">
        <v>120</v>
      </c>
      <c r="B68" s="191" t="s">
        <v>29</v>
      </c>
      <c r="C68" s="4" t="s">
        <v>49</v>
      </c>
      <c r="D68" s="156" t="s">
        <v>198</v>
      </c>
      <c r="E68" s="326">
        <v>200</v>
      </c>
      <c r="F68" s="159">
        <f>F69</f>
        <v>11192.199999999999</v>
      </c>
      <c r="G68" s="306"/>
      <c r="H68" s="522">
        <f>H69</f>
        <v>9437.2999999999993</v>
      </c>
      <c r="I68" s="522"/>
      <c r="J68" s="522">
        <f>J69</f>
        <v>9437.2999999999993</v>
      </c>
      <c r="K68" s="522"/>
      <c r="L68" s="154"/>
      <c r="N68" s="154"/>
      <c r="O68" s="154"/>
    </row>
    <row r="69" spans="1:15" s="138" customFormat="1" ht="31.5" x14ac:dyDescent="0.25">
      <c r="A69" s="375" t="s">
        <v>52</v>
      </c>
      <c r="B69" s="191" t="s">
        <v>29</v>
      </c>
      <c r="C69" s="4" t="s">
        <v>49</v>
      </c>
      <c r="D69" s="156" t="s">
        <v>198</v>
      </c>
      <c r="E69" s="326">
        <v>240</v>
      </c>
      <c r="F69" s="159">
        <f>'ведом. 2025-2027'!AD43</f>
        <v>11192.199999999999</v>
      </c>
      <c r="G69" s="306"/>
      <c r="H69" s="522">
        <f>'ведом. 2025-2027'!AE43</f>
        <v>9437.2999999999993</v>
      </c>
      <c r="I69" s="522"/>
      <c r="J69" s="522">
        <f>'ведом. 2025-2027'!AF43</f>
        <v>9437.2999999999993</v>
      </c>
      <c r="K69" s="522"/>
      <c r="L69" s="154"/>
      <c r="N69" s="154"/>
      <c r="O69" s="154"/>
    </row>
    <row r="70" spans="1:15" s="519" customFormat="1" x14ac:dyDescent="0.25">
      <c r="A70" s="451" t="s">
        <v>42</v>
      </c>
      <c r="B70" s="191" t="s">
        <v>29</v>
      </c>
      <c r="C70" s="516" t="s">
        <v>49</v>
      </c>
      <c r="D70" s="156" t="s">
        <v>198</v>
      </c>
      <c r="E70" s="326">
        <v>800</v>
      </c>
      <c r="F70" s="522">
        <f>F71</f>
        <v>0.1</v>
      </c>
      <c r="G70" s="522"/>
      <c r="H70" s="522">
        <f t="shared" ref="H70:J70" si="12">H71</f>
        <v>0</v>
      </c>
      <c r="I70" s="522"/>
      <c r="J70" s="522">
        <f t="shared" si="12"/>
        <v>0</v>
      </c>
      <c r="K70" s="522"/>
      <c r="L70" s="521"/>
      <c r="N70" s="521"/>
      <c r="O70" s="521"/>
    </row>
    <row r="71" spans="1:15" s="519" customFormat="1" x14ac:dyDescent="0.25">
      <c r="A71" s="451" t="s">
        <v>57</v>
      </c>
      <c r="B71" s="191" t="s">
        <v>29</v>
      </c>
      <c r="C71" s="516" t="s">
        <v>49</v>
      </c>
      <c r="D71" s="156" t="s">
        <v>198</v>
      </c>
      <c r="E71" s="326">
        <v>850</v>
      </c>
      <c r="F71" s="522">
        <f>'ведом. 2025-2027'!AD45</f>
        <v>0.1</v>
      </c>
      <c r="G71" s="524"/>
      <c r="H71" s="522">
        <f>'ведом. 2025-2027'!AE45</f>
        <v>0</v>
      </c>
      <c r="I71" s="522"/>
      <c r="J71" s="522">
        <f>'ведом. 2025-2027'!AF45</f>
        <v>0</v>
      </c>
      <c r="K71" s="522"/>
      <c r="L71" s="521"/>
      <c r="N71" s="521"/>
      <c r="O71" s="521"/>
    </row>
    <row r="72" spans="1:15" s="138" customFormat="1" ht="31.5" x14ac:dyDescent="0.25">
      <c r="A72" s="375" t="s">
        <v>199</v>
      </c>
      <c r="B72" s="191" t="s">
        <v>29</v>
      </c>
      <c r="C72" s="4" t="s">
        <v>49</v>
      </c>
      <c r="D72" s="156" t="s">
        <v>200</v>
      </c>
      <c r="E72" s="325"/>
      <c r="F72" s="159">
        <f>F73</f>
        <v>28421.4</v>
      </c>
      <c r="G72" s="306"/>
      <c r="H72" s="522">
        <f>H73</f>
        <v>28421.4</v>
      </c>
      <c r="I72" s="522"/>
      <c r="J72" s="522">
        <f>J73</f>
        <v>28421.4</v>
      </c>
      <c r="K72" s="522"/>
      <c r="L72" s="154"/>
      <c r="N72" s="154"/>
      <c r="O72" s="154"/>
    </row>
    <row r="73" spans="1:15" s="138" customFormat="1" ht="47.25" x14ac:dyDescent="0.25">
      <c r="A73" s="375" t="s">
        <v>41</v>
      </c>
      <c r="B73" s="191" t="s">
        <v>29</v>
      </c>
      <c r="C73" s="4" t="s">
        <v>49</v>
      </c>
      <c r="D73" s="156" t="s">
        <v>200</v>
      </c>
      <c r="E73" s="325">
        <v>100</v>
      </c>
      <c r="F73" s="159">
        <f>F74</f>
        <v>28421.4</v>
      </c>
      <c r="G73" s="306"/>
      <c r="H73" s="522">
        <f>H74</f>
        <v>28421.4</v>
      </c>
      <c r="I73" s="522"/>
      <c r="J73" s="522">
        <f>J74</f>
        <v>28421.4</v>
      </c>
      <c r="K73" s="522"/>
      <c r="L73" s="154"/>
      <c r="N73" s="154"/>
      <c r="O73" s="154"/>
    </row>
    <row r="74" spans="1:15" s="138" customFormat="1" x14ac:dyDescent="0.25">
      <c r="A74" s="375" t="s">
        <v>96</v>
      </c>
      <c r="B74" s="191" t="s">
        <v>29</v>
      </c>
      <c r="C74" s="4" t="s">
        <v>49</v>
      </c>
      <c r="D74" s="156" t="s">
        <v>200</v>
      </c>
      <c r="E74" s="326">
        <v>120</v>
      </c>
      <c r="F74" s="159">
        <f>'ведом. 2025-2027'!AD48</f>
        <v>28421.4</v>
      </c>
      <c r="G74" s="306"/>
      <c r="H74" s="522">
        <f>'ведом. 2025-2027'!AE48</f>
        <v>28421.4</v>
      </c>
      <c r="I74" s="522"/>
      <c r="J74" s="522">
        <f>'ведом. 2025-2027'!AF48</f>
        <v>28421.4</v>
      </c>
      <c r="K74" s="522"/>
      <c r="L74" s="154"/>
      <c r="N74" s="154"/>
      <c r="O74" s="154"/>
    </row>
    <row r="75" spans="1:15" s="138" customFormat="1" ht="31.5" x14ac:dyDescent="0.25">
      <c r="A75" s="375" t="s">
        <v>201</v>
      </c>
      <c r="B75" s="191" t="s">
        <v>29</v>
      </c>
      <c r="C75" s="4" t="s">
        <v>49</v>
      </c>
      <c r="D75" s="156" t="s">
        <v>202</v>
      </c>
      <c r="E75" s="325"/>
      <c r="F75" s="159">
        <f>F76</f>
        <v>72547</v>
      </c>
      <c r="G75" s="306"/>
      <c r="H75" s="522">
        <f>H76</f>
        <v>54374.3</v>
      </c>
      <c r="I75" s="522"/>
      <c r="J75" s="522">
        <f>J76</f>
        <v>54374.3</v>
      </c>
      <c r="K75" s="522"/>
      <c r="L75" s="154"/>
      <c r="N75" s="154"/>
      <c r="O75" s="154"/>
    </row>
    <row r="76" spans="1:15" s="138" customFormat="1" ht="47.25" x14ac:dyDescent="0.25">
      <c r="A76" s="375" t="s">
        <v>41</v>
      </c>
      <c r="B76" s="191" t="s">
        <v>29</v>
      </c>
      <c r="C76" s="4" t="s">
        <v>49</v>
      </c>
      <c r="D76" s="156" t="s">
        <v>202</v>
      </c>
      <c r="E76" s="325">
        <v>100</v>
      </c>
      <c r="F76" s="159">
        <f>F77</f>
        <v>72547</v>
      </c>
      <c r="G76" s="306"/>
      <c r="H76" s="522">
        <f>H77</f>
        <v>54374.3</v>
      </c>
      <c r="I76" s="522"/>
      <c r="J76" s="522">
        <f>J77</f>
        <v>54374.3</v>
      </c>
      <c r="K76" s="522"/>
      <c r="L76" s="154"/>
      <c r="N76" s="154"/>
      <c r="O76" s="154"/>
    </row>
    <row r="77" spans="1:15" s="138" customFormat="1" x14ac:dyDescent="0.25">
      <c r="A77" s="375" t="s">
        <v>96</v>
      </c>
      <c r="B77" s="191" t="s">
        <v>29</v>
      </c>
      <c r="C77" s="4" t="s">
        <v>49</v>
      </c>
      <c r="D77" s="156" t="s">
        <v>202</v>
      </c>
      <c r="E77" s="326">
        <v>120</v>
      </c>
      <c r="F77" s="159">
        <f>'ведом. 2025-2027'!AD51</f>
        <v>72547</v>
      </c>
      <c r="G77" s="306"/>
      <c r="H77" s="522">
        <f>'ведом. 2025-2027'!AE51</f>
        <v>54374.3</v>
      </c>
      <c r="I77" s="522"/>
      <c r="J77" s="522">
        <f>'ведом. 2025-2027'!AF51</f>
        <v>54374.3</v>
      </c>
      <c r="K77" s="522"/>
      <c r="L77" s="154"/>
      <c r="N77" s="154"/>
      <c r="O77" s="154"/>
    </row>
    <row r="78" spans="1:15" s="177" customFormat="1" ht="31.5" x14ac:dyDescent="0.25">
      <c r="A78" s="253" t="s">
        <v>534</v>
      </c>
      <c r="B78" s="191" t="s">
        <v>29</v>
      </c>
      <c r="C78" s="4" t="s">
        <v>49</v>
      </c>
      <c r="D78" s="281" t="s">
        <v>535</v>
      </c>
      <c r="E78" s="326"/>
      <c r="F78" s="159">
        <f>F79</f>
        <v>514</v>
      </c>
      <c r="G78" s="306"/>
      <c r="H78" s="522">
        <f t="shared" ref="H78:J79" si="13">H79</f>
        <v>383</v>
      </c>
      <c r="I78" s="522"/>
      <c r="J78" s="522">
        <f t="shared" si="13"/>
        <v>266</v>
      </c>
      <c r="K78" s="522"/>
      <c r="L78" s="154"/>
      <c r="N78" s="154"/>
      <c r="O78" s="154"/>
    </row>
    <row r="79" spans="1:15" s="177" customFormat="1" ht="78.75" x14ac:dyDescent="0.25">
      <c r="A79" s="253" t="s">
        <v>406</v>
      </c>
      <c r="B79" s="191" t="s">
        <v>29</v>
      </c>
      <c r="C79" s="4" t="s">
        <v>49</v>
      </c>
      <c r="D79" s="156" t="s">
        <v>536</v>
      </c>
      <c r="E79" s="326"/>
      <c r="F79" s="159">
        <f>F80</f>
        <v>514</v>
      </c>
      <c r="G79" s="306"/>
      <c r="H79" s="522">
        <f t="shared" si="13"/>
        <v>383</v>
      </c>
      <c r="I79" s="522"/>
      <c r="J79" s="522">
        <f t="shared" si="13"/>
        <v>266</v>
      </c>
      <c r="K79" s="522"/>
      <c r="L79" s="154"/>
      <c r="N79" s="154"/>
      <c r="O79" s="154"/>
    </row>
    <row r="80" spans="1:15" s="177" customFormat="1" x14ac:dyDescent="0.25">
      <c r="A80" s="253" t="s">
        <v>120</v>
      </c>
      <c r="B80" s="191" t="s">
        <v>29</v>
      </c>
      <c r="C80" s="4" t="s">
        <v>49</v>
      </c>
      <c r="D80" s="156" t="s">
        <v>536</v>
      </c>
      <c r="E80" s="326">
        <v>200</v>
      </c>
      <c r="F80" s="159">
        <f>F81</f>
        <v>514</v>
      </c>
      <c r="G80" s="306"/>
      <c r="H80" s="522">
        <f>H81</f>
        <v>383</v>
      </c>
      <c r="I80" s="522"/>
      <c r="J80" s="522">
        <f>J81</f>
        <v>266</v>
      </c>
      <c r="K80" s="522"/>
      <c r="L80" s="154"/>
      <c r="N80" s="154"/>
      <c r="O80" s="154"/>
    </row>
    <row r="81" spans="1:15" s="177" customFormat="1" ht="31.5" x14ac:dyDescent="0.25">
      <c r="A81" s="253" t="s">
        <v>52</v>
      </c>
      <c r="B81" s="191" t="s">
        <v>29</v>
      </c>
      <c r="C81" s="4" t="s">
        <v>49</v>
      </c>
      <c r="D81" s="156" t="s">
        <v>536</v>
      </c>
      <c r="E81" s="326">
        <v>240</v>
      </c>
      <c r="F81" s="159">
        <f>'ведом. 2025-2027'!AD55</f>
        <v>514</v>
      </c>
      <c r="G81" s="306"/>
      <c r="H81" s="522">
        <f>'ведом. 2025-2027'!AE55</f>
        <v>383</v>
      </c>
      <c r="I81" s="522"/>
      <c r="J81" s="522">
        <f>'ведом. 2025-2027'!AF55</f>
        <v>266</v>
      </c>
      <c r="K81" s="522"/>
      <c r="L81" s="154"/>
      <c r="N81" s="154"/>
      <c r="O81" s="154"/>
    </row>
    <row r="82" spans="1:15" s="138" customFormat="1" ht="31.5" x14ac:dyDescent="0.25">
      <c r="A82" s="255" t="s">
        <v>298</v>
      </c>
      <c r="B82" s="191" t="s">
        <v>29</v>
      </c>
      <c r="C82" s="4" t="s">
        <v>49</v>
      </c>
      <c r="D82" s="156" t="s">
        <v>132</v>
      </c>
      <c r="E82" s="326"/>
      <c r="F82" s="159">
        <f>F83</f>
        <v>9408.4</v>
      </c>
      <c r="G82" s="306"/>
      <c r="H82" s="522">
        <f>H83</f>
        <v>3000</v>
      </c>
      <c r="I82" s="522"/>
      <c r="J82" s="522">
        <f>J83</f>
        <v>3000</v>
      </c>
      <c r="K82" s="522"/>
      <c r="L82" s="154"/>
      <c r="N82" s="154"/>
      <c r="O82" s="154"/>
    </row>
    <row r="83" spans="1:15" s="138" customFormat="1" ht="47.25" x14ac:dyDescent="0.25">
      <c r="A83" s="255" t="s">
        <v>299</v>
      </c>
      <c r="B83" s="191" t="s">
        <v>29</v>
      </c>
      <c r="C83" s="4" t="s">
        <v>49</v>
      </c>
      <c r="D83" s="156" t="s">
        <v>300</v>
      </c>
      <c r="E83" s="326"/>
      <c r="F83" s="159">
        <f>F84</f>
        <v>9408.4</v>
      </c>
      <c r="G83" s="306"/>
      <c r="H83" s="522">
        <f>H84</f>
        <v>3000</v>
      </c>
      <c r="I83" s="522"/>
      <c r="J83" s="522">
        <f>J84</f>
        <v>3000</v>
      </c>
      <c r="K83" s="522"/>
      <c r="L83" s="154"/>
      <c r="N83" s="154"/>
      <c r="O83" s="154"/>
    </row>
    <row r="84" spans="1:15" s="138" customFormat="1" ht="31.5" x14ac:dyDescent="0.25">
      <c r="A84" s="278" t="s">
        <v>301</v>
      </c>
      <c r="B84" s="191" t="s">
        <v>29</v>
      </c>
      <c r="C84" s="4" t="s">
        <v>49</v>
      </c>
      <c r="D84" s="156" t="s">
        <v>302</v>
      </c>
      <c r="E84" s="326"/>
      <c r="F84" s="159">
        <f>F85</f>
        <v>9408.4</v>
      </c>
      <c r="G84" s="306"/>
      <c r="H84" s="522">
        <f>H85</f>
        <v>3000</v>
      </c>
      <c r="I84" s="522"/>
      <c r="J84" s="522">
        <f>J85</f>
        <v>3000</v>
      </c>
      <c r="K84" s="522"/>
      <c r="L84" s="154"/>
      <c r="N84" s="154"/>
      <c r="O84" s="154"/>
    </row>
    <row r="85" spans="1:15" s="138" customFormat="1" ht="94.5" x14ac:dyDescent="0.25">
      <c r="A85" s="278" t="s">
        <v>677</v>
      </c>
      <c r="B85" s="191" t="s">
        <v>29</v>
      </c>
      <c r="C85" s="4" t="s">
        <v>49</v>
      </c>
      <c r="D85" s="281" t="s">
        <v>303</v>
      </c>
      <c r="E85" s="326"/>
      <c r="F85" s="159">
        <f>F86</f>
        <v>9408.4</v>
      </c>
      <c r="G85" s="306"/>
      <c r="H85" s="522">
        <f>H86</f>
        <v>3000</v>
      </c>
      <c r="I85" s="522"/>
      <c r="J85" s="522">
        <f>J86</f>
        <v>3000</v>
      </c>
      <c r="K85" s="522"/>
      <c r="L85" s="154"/>
      <c r="N85" s="154"/>
      <c r="O85" s="154"/>
    </row>
    <row r="86" spans="1:15" s="138" customFormat="1" x14ac:dyDescent="0.25">
      <c r="A86" s="375" t="s">
        <v>120</v>
      </c>
      <c r="B86" s="191" t="s">
        <v>29</v>
      </c>
      <c r="C86" s="4" t="s">
        <v>49</v>
      </c>
      <c r="D86" s="281" t="s">
        <v>303</v>
      </c>
      <c r="E86" s="326">
        <v>200</v>
      </c>
      <c r="F86" s="159">
        <f>F87</f>
        <v>9408.4</v>
      </c>
      <c r="G86" s="306"/>
      <c r="H86" s="522">
        <f>H87</f>
        <v>3000</v>
      </c>
      <c r="I86" s="522"/>
      <c r="J86" s="522">
        <f>J87</f>
        <v>3000</v>
      </c>
      <c r="K86" s="522"/>
      <c r="L86" s="154"/>
      <c r="N86" s="154"/>
      <c r="O86" s="154"/>
    </row>
    <row r="87" spans="1:15" s="138" customFormat="1" ht="31.5" x14ac:dyDescent="0.25">
      <c r="A87" s="375" t="s">
        <v>52</v>
      </c>
      <c r="B87" s="191" t="s">
        <v>29</v>
      </c>
      <c r="C87" s="4" t="s">
        <v>49</v>
      </c>
      <c r="D87" s="281" t="s">
        <v>303</v>
      </c>
      <c r="E87" s="326">
        <v>240</v>
      </c>
      <c r="F87" s="159">
        <f>'ведом. 2025-2027'!AD61</f>
        <v>9408.4</v>
      </c>
      <c r="G87" s="306"/>
      <c r="H87" s="522">
        <f>'ведом. 2025-2027'!AE61</f>
        <v>3000</v>
      </c>
      <c r="I87" s="522"/>
      <c r="J87" s="522">
        <f>'ведом. 2025-2027'!AF61</f>
        <v>3000</v>
      </c>
      <c r="K87" s="522"/>
      <c r="L87" s="154"/>
      <c r="N87" s="154"/>
      <c r="O87" s="154"/>
    </row>
    <row r="88" spans="1:15" s="138" customFormat="1" ht="31.5" x14ac:dyDescent="0.25">
      <c r="A88" s="375" t="s">
        <v>70</v>
      </c>
      <c r="B88" s="191" t="s">
        <v>29</v>
      </c>
      <c r="C88" s="4" t="s">
        <v>95</v>
      </c>
      <c r="D88" s="321"/>
      <c r="E88" s="326"/>
      <c r="F88" s="159">
        <f>F89+F106</f>
        <v>43265.5</v>
      </c>
      <c r="G88" s="159"/>
      <c r="H88" s="522">
        <f>H89+H106</f>
        <v>42805.3</v>
      </c>
      <c r="I88" s="522"/>
      <c r="J88" s="522">
        <f>J89+J106</f>
        <v>43070</v>
      </c>
      <c r="K88" s="522"/>
      <c r="L88" s="154"/>
      <c r="N88" s="154"/>
      <c r="O88" s="154"/>
    </row>
    <row r="89" spans="1:15" s="138" customFormat="1" x14ac:dyDescent="0.25">
      <c r="A89" s="255" t="s">
        <v>186</v>
      </c>
      <c r="B89" s="191" t="s">
        <v>29</v>
      </c>
      <c r="C89" s="4" t="s">
        <v>95</v>
      </c>
      <c r="D89" s="156" t="s">
        <v>112</v>
      </c>
      <c r="E89" s="326"/>
      <c r="F89" s="159">
        <f>F90</f>
        <v>32089.100000000002</v>
      </c>
      <c r="G89" s="306"/>
      <c r="H89" s="522">
        <f>H90</f>
        <v>32041.9</v>
      </c>
      <c r="I89" s="522"/>
      <c r="J89" s="522">
        <f>J90</f>
        <v>32306.600000000002</v>
      </c>
      <c r="K89" s="522"/>
      <c r="L89" s="154"/>
      <c r="N89" s="154"/>
      <c r="O89" s="154"/>
    </row>
    <row r="90" spans="1:15" s="138" customFormat="1" x14ac:dyDescent="0.25">
      <c r="A90" s="255" t="s">
        <v>189</v>
      </c>
      <c r="B90" s="191" t="s">
        <v>29</v>
      </c>
      <c r="C90" s="4" t="s">
        <v>95</v>
      </c>
      <c r="D90" s="156" t="s">
        <v>190</v>
      </c>
      <c r="E90" s="326"/>
      <c r="F90" s="159">
        <f>F91+F102</f>
        <v>32089.100000000002</v>
      </c>
      <c r="G90" s="440"/>
      <c r="H90" s="522">
        <f>H91+H102</f>
        <v>32041.9</v>
      </c>
      <c r="I90" s="522"/>
      <c r="J90" s="522">
        <f>J91+J102</f>
        <v>32306.600000000002</v>
      </c>
      <c r="K90" s="522"/>
      <c r="L90" s="154"/>
      <c r="N90" s="154"/>
      <c r="O90" s="154"/>
    </row>
    <row r="91" spans="1:15" s="138" customFormat="1" ht="31.5" x14ac:dyDescent="0.25">
      <c r="A91" s="255" t="s">
        <v>191</v>
      </c>
      <c r="B91" s="191" t="s">
        <v>29</v>
      </c>
      <c r="C91" s="4" t="s">
        <v>95</v>
      </c>
      <c r="D91" s="156" t="s">
        <v>192</v>
      </c>
      <c r="E91" s="326"/>
      <c r="F91" s="159">
        <f>F92</f>
        <v>31825.4</v>
      </c>
      <c r="G91" s="306"/>
      <c r="H91" s="522">
        <f>H92</f>
        <v>31765.600000000002</v>
      </c>
      <c r="I91" s="522"/>
      <c r="J91" s="522">
        <f>J92</f>
        <v>31765.600000000002</v>
      </c>
      <c r="K91" s="522"/>
      <c r="L91" s="154"/>
      <c r="N91" s="154"/>
      <c r="O91" s="154"/>
    </row>
    <row r="92" spans="1:15" s="138" customFormat="1" x14ac:dyDescent="0.25">
      <c r="A92" s="278" t="s">
        <v>209</v>
      </c>
      <c r="B92" s="191" t="s">
        <v>29</v>
      </c>
      <c r="C92" s="4" t="s">
        <v>95</v>
      </c>
      <c r="D92" s="281" t="s">
        <v>210</v>
      </c>
      <c r="E92" s="326"/>
      <c r="F92" s="159">
        <f>F93+F96+F99</f>
        <v>31825.4</v>
      </c>
      <c r="G92" s="522"/>
      <c r="H92" s="522">
        <f t="shared" ref="H92:J92" si="14">H93+H96+H99</f>
        <v>31765.600000000002</v>
      </c>
      <c r="I92" s="522"/>
      <c r="J92" s="522">
        <f t="shared" si="14"/>
        <v>31765.600000000002</v>
      </c>
      <c r="K92" s="522"/>
      <c r="L92" s="154"/>
      <c r="N92" s="154"/>
      <c r="O92" s="154"/>
    </row>
    <row r="93" spans="1:15" s="138" customFormat="1" ht="31.5" x14ac:dyDescent="0.25">
      <c r="A93" s="375" t="s">
        <v>211</v>
      </c>
      <c r="B93" s="191" t="s">
        <v>29</v>
      </c>
      <c r="C93" s="4" t="s">
        <v>95</v>
      </c>
      <c r="D93" s="281" t="s">
        <v>212</v>
      </c>
      <c r="E93" s="326"/>
      <c r="F93" s="159">
        <f>F94</f>
        <v>3669.3</v>
      </c>
      <c r="G93" s="522"/>
      <c r="H93" s="522">
        <f t="shared" ref="H93:J93" si="15">H94</f>
        <v>3657.8</v>
      </c>
      <c r="I93" s="522"/>
      <c r="J93" s="522">
        <f t="shared" si="15"/>
        <v>3657.8</v>
      </c>
      <c r="K93" s="522"/>
      <c r="L93" s="154"/>
      <c r="N93" s="154"/>
      <c r="O93" s="154"/>
    </row>
    <row r="94" spans="1:15" s="138" customFormat="1" x14ac:dyDescent="0.25">
      <c r="A94" s="375" t="s">
        <v>120</v>
      </c>
      <c r="B94" s="191" t="s">
        <v>29</v>
      </c>
      <c r="C94" s="4" t="s">
        <v>95</v>
      </c>
      <c r="D94" s="281" t="s">
        <v>212</v>
      </c>
      <c r="E94" s="326">
        <v>200</v>
      </c>
      <c r="F94" s="159">
        <f>F95</f>
        <v>3669.3</v>
      </c>
      <c r="G94" s="306"/>
      <c r="H94" s="522">
        <f>H95</f>
        <v>3657.8</v>
      </c>
      <c r="I94" s="522"/>
      <c r="J94" s="522">
        <f>J95</f>
        <v>3657.8</v>
      </c>
      <c r="K94" s="522"/>
      <c r="L94" s="154"/>
      <c r="N94" s="154"/>
      <c r="O94" s="154"/>
    </row>
    <row r="95" spans="1:15" s="138" customFormat="1" ht="31.5" x14ac:dyDescent="0.25">
      <c r="A95" s="375" t="s">
        <v>52</v>
      </c>
      <c r="B95" s="191" t="s">
        <v>29</v>
      </c>
      <c r="C95" s="4" t="s">
        <v>95</v>
      </c>
      <c r="D95" s="281" t="s">
        <v>212</v>
      </c>
      <c r="E95" s="326">
        <v>240</v>
      </c>
      <c r="F95" s="159">
        <f>'ведом. 2025-2027'!AD543</f>
        <v>3669.3</v>
      </c>
      <c r="G95" s="306"/>
      <c r="H95" s="522">
        <f>'ведом. 2025-2027'!AE543</f>
        <v>3657.8</v>
      </c>
      <c r="I95" s="522"/>
      <c r="J95" s="522">
        <f>'ведом. 2025-2027'!AF543</f>
        <v>3657.8</v>
      </c>
      <c r="K95" s="522"/>
      <c r="L95" s="154"/>
      <c r="N95" s="154"/>
      <c r="O95" s="154"/>
    </row>
    <row r="96" spans="1:15" s="138" customFormat="1" ht="31.5" x14ac:dyDescent="0.25">
      <c r="A96" s="375" t="s">
        <v>216</v>
      </c>
      <c r="B96" s="191" t="s">
        <v>29</v>
      </c>
      <c r="C96" s="4" t="s">
        <v>95</v>
      </c>
      <c r="D96" s="26" t="str">
        <f>D97</f>
        <v>12 5 01 00162</v>
      </c>
      <c r="E96" s="326"/>
      <c r="F96" s="159">
        <f>F98</f>
        <v>15536.1</v>
      </c>
      <c r="G96" s="306"/>
      <c r="H96" s="522">
        <f>H98</f>
        <v>15536.1</v>
      </c>
      <c r="I96" s="522"/>
      <c r="J96" s="522">
        <f>J98</f>
        <v>15536.1</v>
      </c>
      <c r="K96" s="522"/>
      <c r="L96" s="154"/>
      <c r="N96" s="154"/>
      <c r="O96" s="154"/>
    </row>
    <row r="97" spans="1:15" s="138" customFormat="1" ht="47.25" x14ac:dyDescent="0.25">
      <c r="A97" s="375" t="s">
        <v>41</v>
      </c>
      <c r="B97" s="191" t="s">
        <v>29</v>
      </c>
      <c r="C97" s="4" t="s">
        <v>95</v>
      </c>
      <c r="D97" s="26" t="str">
        <f>D98</f>
        <v>12 5 01 00162</v>
      </c>
      <c r="E97" s="326">
        <v>100</v>
      </c>
      <c r="F97" s="159">
        <f>F98</f>
        <v>15536.1</v>
      </c>
      <c r="G97" s="306"/>
      <c r="H97" s="522">
        <f>H98</f>
        <v>15536.1</v>
      </c>
      <c r="I97" s="522"/>
      <c r="J97" s="522">
        <f>J98</f>
        <v>15536.1</v>
      </c>
      <c r="K97" s="522"/>
      <c r="L97" s="154"/>
      <c r="N97" s="154"/>
      <c r="O97" s="154"/>
    </row>
    <row r="98" spans="1:15" s="138" customFormat="1" x14ac:dyDescent="0.25">
      <c r="A98" s="375" t="s">
        <v>96</v>
      </c>
      <c r="B98" s="191" t="s">
        <v>29</v>
      </c>
      <c r="C98" s="4" t="s">
        <v>95</v>
      </c>
      <c r="D98" s="281" t="s">
        <v>213</v>
      </c>
      <c r="E98" s="326">
        <v>120</v>
      </c>
      <c r="F98" s="159">
        <f>'ведом. 2025-2027'!AD546</f>
        <v>15536.1</v>
      </c>
      <c r="G98" s="306"/>
      <c r="H98" s="522">
        <f>'ведом. 2025-2027'!AE546</f>
        <v>15536.1</v>
      </c>
      <c r="I98" s="522"/>
      <c r="J98" s="522">
        <f>'ведом. 2025-2027'!AF546</f>
        <v>15536.1</v>
      </c>
      <c r="K98" s="522"/>
      <c r="L98" s="154"/>
      <c r="N98" s="154"/>
      <c r="O98" s="154"/>
    </row>
    <row r="99" spans="1:15" s="138" customFormat="1" ht="31.5" x14ac:dyDescent="0.25">
      <c r="A99" s="375" t="s">
        <v>215</v>
      </c>
      <c r="B99" s="191" t="s">
        <v>29</v>
      </c>
      <c r="C99" s="4" t="s">
        <v>95</v>
      </c>
      <c r="D99" s="26" t="str">
        <f>D100</f>
        <v>12 5 01 00163</v>
      </c>
      <c r="E99" s="326"/>
      <c r="F99" s="159">
        <f>F100</f>
        <v>12620</v>
      </c>
      <c r="G99" s="306"/>
      <c r="H99" s="522">
        <f>H100</f>
        <v>12571.7</v>
      </c>
      <c r="I99" s="522"/>
      <c r="J99" s="522">
        <f>J100</f>
        <v>12571.7</v>
      </c>
      <c r="K99" s="522"/>
      <c r="L99" s="154"/>
      <c r="N99" s="154"/>
      <c r="O99" s="154"/>
    </row>
    <row r="100" spans="1:15" s="138" customFormat="1" ht="47.25" x14ac:dyDescent="0.25">
      <c r="A100" s="375" t="s">
        <v>41</v>
      </c>
      <c r="B100" s="191" t="s">
        <v>29</v>
      </c>
      <c r="C100" s="4" t="s">
        <v>95</v>
      </c>
      <c r="D100" s="26" t="str">
        <f>D101</f>
        <v>12 5 01 00163</v>
      </c>
      <c r="E100" s="326">
        <v>100</v>
      </c>
      <c r="F100" s="159">
        <f>F101</f>
        <v>12620</v>
      </c>
      <c r="G100" s="306"/>
      <c r="H100" s="522">
        <f>H101</f>
        <v>12571.7</v>
      </c>
      <c r="I100" s="522"/>
      <c r="J100" s="522">
        <f>J101</f>
        <v>12571.7</v>
      </c>
      <c r="K100" s="522"/>
      <c r="L100" s="154"/>
      <c r="N100" s="154"/>
      <c r="O100" s="154"/>
    </row>
    <row r="101" spans="1:15" s="138" customFormat="1" x14ac:dyDescent="0.25">
      <c r="A101" s="375" t="s">
        <v>96</v>
      </c>
      <c r="B101" s="191" t="s">
        <v>29</v>
      </c>
      <c r="C101" s="4" t="s">
        <v>95</v>
      </c>
      <c r="D101" s="281" t="s">
        <v>214</v>
      </c>
      <c r="E101" s="326">
        <v>120</v>
      </c>
      <c r="F101" s="159">
        <f>'ведом. 2025-2027'!AD549</f>
        <v>12620</v>
      </c>
      <c r="G101" s="306"/>
      <c r="H101" s="522">
        <f>'ведом. 2025-2027'!AE549</f>
        <v>12571.7</v>
      </c>
      <c r="I101" s="522"/>
      <c r="J101" s="522">
        <f>'ведом. 2025-2027'!AF549</f>
        <v>12571.7</v>
      </c>
      <c r="K101" s="522"/>
      <c r="L101" s="154"/>
      <c r="N101" s="154"/>
      <c r="O101" s="154"/>
    </row>
    <row r="102" spans="1:15" s="438" customFormat="1" ht="31.5" x14ac:dyDescent="0.25">
      <c r="A102" s="253" t="s">
        <v>534</v>
      </c>
      <c r="B102" s="191" t="s">
        <v>29</v>
      </c>
      <c r="C102" s="516" t="s">
        <v>95</v>
      </c>
      <c r="D102" s="313" t="s">
        <v>535</v>
      </c>
      <c r="E102" s="444"/>
      <c r="F102" s="440">
        <f>F103</f>
        <v>263.7</v>
      </c>
      <c r="G102" s="440"/>
      <c r="H102" s="522">
        <f t="shared" ref="H102:J104" si="16">H103</f>
        <v>276.3</v>
      </c>
      <c r="I102" s="522"/>
      <c r="J102" s="522">
        <f t="shared" si="16"/>
        <v>541</v>
      </c>
      <c r="K102" s="522"/>
      <c r="L102" s="154"/>
      <c r="N102" s="154"/>
      <c r="O102" s="154"/>
    </row>
    <row r="103" spans="1:15" s="438" customFormat="1" ht="78.75" x14ac:dyDescent="0.25">
      <c r="A103" s="253" t="s">
        <v>406</v>
      </c>
      <c r="B103" s="191" t="s">
        <v>29</v>
      </c>
      <c r="C103" s="516" t="s">
        <v>95</v>
      </c>
      <c r="D103" s="291" t="s">
        <v>536</v>
      </c>
      <c r="E103" s="444"/>
      <c r="F103" s="440">
        <f>F104</f>
        <v>263.7</v>
      </c>
      <c r="G103" s="440"/>
      <c r="H103" s="522">
        <f t="shared" si="16"/>
        <v>276.3</v>
      </c>
      <c r="I103" s="522"/>
      <c r="J103" s="522">
        <f t="shared" si="16"/>
        <v>541</v>
      </c>
      <c r="K103" s="522"/>
      <c r="L103" s="154"/>
      <c r="N103" s="154"/>
      <c r="O103" s="154"/>
    </row>
    <row r="104" spans="1:15" s="438" customFormat="1" x14ac:dyDescent="0.25">
      <c r="A104" s="253" t="s">
        <v>120</v>
      </c>
      <c r="B104" s="191" t="s">
        <v>29</v>
      </c>
      <c r="C104" s="516" t="s">
        <v>95</v>
      </c>
      <c r="D104" s="291" t="s">
        <v>536</v>
      </c>
      <c r="E104" s="444">
        <v>200</v>
      </c>
      <c r="F104" s="440">
        <f>F105</f>
        <v>263.7</v>
      </c>
      <c r="G104" s="440"/>
      <c r="H104" s="522">
        <f t="shared" si="16"/>
        <v>276.3</v>
      </c>
      <c r="I104" s="522"/>
      <c r="J104" s="522">
        <f t="shared" si="16"/>
        <v>541</v>
      </c>
      <c r="K104" s="522"/>
      <c r="L104" s="154"/>
      <c r="N104" s="154"/>
      <c r="O104" s="154"/>
    </row>
    <row r="105" spans="1:15" s="438" customFormat="1" ht="31.5" x14ac:dyDescent="0.25">
      <c r="A105" s="253" t="s">
        <v>52</v>
      </c>
      <c r="B105" s="191" t="s">
        <v>29</v>
      </c>
      <c r="C105" s="516" t="s">
        <v>95</v>
      </c>
      <c r="D105" s="291" t="s">
        <v>536</v>
      </c>
      <c r="E105" s="444">
        <v>240</v>
      </c>
      <c r="F105" s="440">
        <f>'ведом. 2025-2027'!AD553+'ведом. 2025-2027'!AD1014</f>
        <v>263.7</v>
      </c>
      <c r="G105" s="306"/>
      <c r="H105" s="522">
        <f>'ведом. 2025-2027'!AE553+'ведом. 2025-2027'!AE1014</f>
        <v>276.3</v>
      </c>
      <c r="I105" s="522"/>
      <c r="J105" s="522">
        <f>'ведом. 2025-2027'!AF553+'ведом. 2025-2027'!AF1014</f>
        <v>541</v>
      </c>
      <c r="K105" s="522"/>
      <c r="L105" s="154"/>
      <c r="N105" s="154"/>
      <c r="O105" s="154"/>
    </row>
    <row r="106" spans="1:15" s="138" customFormat="1" ht="31.5" x14ac:dyDescent="0.25">
      <c r="A106" s="255" t="s">
        <v>274</v>
      </c>
      <c r="B106" s="191" t="s">
        <v>29</v>
      </c>
      <c r="C106" s="516" t="s">
        <v>95</v>
      </c>
      <c r="D106" s="156" t="s">
        <v>99</v>
      </c>
      <c r="E106" s="326"/>
      <c r="F106" s="159">
        <f>F107</f>
        <v>11176.400000000001</v>
      </c>
      <c r="G106" s="306"/>
      <c r="H106" s="522">
        <f>H107</f>
        <v>10763.400000000001</v>
      </c>
      <c r="I106" s="522"/>
      <c r="J106" s="522">
        <f>J107</f>
        <v>10763.400000000001</v>
      </c>
      <c r="K106" s="522"/>
      <c r="L106" s="154"/>
      <c r="N106" s="154"/>
      <c r="O106" s="154"/>
    </row>
    <row r="107" spans="1:15" s="138" customFormat="1" x14ac:dyDescent="0.25">
      <c r="A107" s="278" t="s">
        <v>272</v>
      </c>
      <c r="B107" s="191" t="s">
        <v>29</v>
      </c>
      <c r="C107" s="516" t="s">
        <v>95</v>
      </c>
      <c r="D107" s="156" t="s">
        <v>273</v>
      </c>
      <c r="E107" s="326"/>
      <c r="F107" s="159">
        <f>F108+F111+F114+F117</f>
        <v>11176.400000000001</v>
      </c>
      <c r="G107" s="306"/>
      <c r="H107" s="522">
        <f>H108+H111+H114+H117</f>
        <v>10763.400000000001</v>
      </c>
      <c r="I107" s="522"/>
      <c r="J107" s="522">
        <f>J108+J111+J114+J117</f>
        <v>10763.400000000001</v>
      </c>
      <c r="K107" s="522"/>
      <c r="L107" s="154"/>
      <c r="N107" s="154"/>
      <c r="O107" s="154"/>
    </row>
    <row r="108" spans="1:15" s="138" customFormat="1" x14ac:dyDescent="0.25">
      <c r="A108" s="375" t="s">
        <v>275</v>
      </c>
      <c r="B108" s="191" t="s">
        <v>29</v>
      </c>
      <c r="C108" s="4" t="s">
        <v>95</v>
      </c>
      <c r="D108" s="156" t="s">
        <v>276</v>
      </c>
      <c r="E108" s="326"/>
      <c r="F108" s="159">
        <f>F109</f>
        <v>1348.2</v>
      </c>
      <c r="G108" s="306"/>
      <c r="H108" s="522">
        <f>H109</f>
        <v>1348.2</v>
      </c>
      <c r="I108" s="522"/>
      <c r="J108" s="522">
        <f>J109</f>
        <v>1348.2</v>
      </c>
      <c r="K108" s="522"/>
      <c r="L108" s="154"/>
      <c r="N108" s="154"/>
      <c r="O108" s="154"/>
    </row>
    <row r="109" spans="1:15" s="138" customFormat="1" x14ac:dyDescent="0.25">
      <c r="A109" s="375" t="s">
        <v>120</v>
      </c>
      <c r="B109" s="191" t="s">
        <v>29</v>
      </c>
      <c r="C109" s="4" t="s">
        <v>95</v>
      </c>
      <c r="D109" s="156" t="s">
        <v>276</v>
      </c>
      <c r="E109" s="326">
        <v>200</v>
      </c>
      <c r="F109" s="159">
        <f>F110</f>
        <v>1348.2</v>
      </c>
      <c r="G109" s="306"/>
      <c r="H109" s="522">
        <f>H110</f>
        <v>1348.2</v>
      </c>
      <c r="I109" s="522"/>
      <c r="J109" s="522">
        <f>J110</f>
        <v>1348.2</v>
      </c>
      <c r="K109" s="522"/>
      <c r="L109" s="154"/>
      <c r="N109" s="154"/>
      <c r="O109" s="154"/>
    </row>
    <row r="110" spans="1:15" s="138" customFormat="1" ht="31.5" x14ac:dyDescent="0.25">
      <c r="A110" s="375" t="s">
        <v>52</v>
      </c>
      <c r="B110" s="191" t="s">
        <v>29</v>
      </c>
      <c r="C110" s="4" t="s">
        <v>95</v>
      </c>
      <c r="D110" s="156" t="s">
        <v>276</v>
      </c>
      <c r="E110" s="326">
        <v>240</v>
      </c>
      <c r="F110" s="159">
        <f>'ведом. 2025-2027'!AD1019</f>
        <v>1348.2</v>
      </c>
      <c r="G110" s="306"/>
      <c r="H110" s="522">
        <f>'ведом. 2025-2027'!AE1019</f>
        <v>1348.2</v>
      </c>
      <c r="I110" s="522"/>
      <c r="J110" s="522">
        <f>'ведом. 2025-2027'!AF1019</f>
        <v>1348.2</v>
      </c>
      <c r="K110" s="522"/>
      <c r="L110" s="154"/>
      <c r="N110" s="154"/>
      <c r="O110" s="154"/>
    </row>
    <row r="111" spans="1:15" s="138" customFormat="1" ht="31.5" x14ac:dyDescent="0.25">
      <c r="A111" s="375" t="s">
        <v>277</v>
      </c>
      <c r="B111" s="191" t="s">
        <v>29</v>
      </c>
      <c r="C111" s="4" t="s">
        <v>95</v>
      </c>
      <c r="D111" s="156" t="s">
        <v>278</v>
      </c>
      <c r="E111" s="326"/>
      <c r="F111" s="159">
        <f>F112</f>
        <v>2423.4</v>
      </c>
      <c r="G111" s="306"/>
      <c r="H111" s="522">
        <f>H112</f>
        <v>2423.4</v>
      </c>
      <c r="I111" s="522"/>
      <c r="J111" s="522">
        <f>J112</f>
        <v>2423.4</v>
      </c>
      <c r="K111" s="522"/>
      <c r="L111" s="154"/>
      <c r="N111" s="154"/>
      <c r="O111" s="154"/>
    </row>
    <row r="112" spans="1:15" s="138" customFormat="1" ht="47.25" x14ac:dyDescent="0.25">
      <c r="A112" s="375" t="s">
        <v>41</v>
      </c>
      <c r="B112" s="191" t="s">
        <v>29</v>
      </c>
      <c r="C112" s="4" t="s">
        <v>95</v>
      </c>
      <c r="D112" s="156" t="s">
        <v>278</v>
      </c>
      <c r="E112" s="326">
        <v>100</v>
      </c>
      <c r="F112" s="159">
        <f>F113</f>
        <v>2423.4</v>
      </c>
      <c r="G112" s="306"/>
      <c r="H112" s="522">
        <f>H113</f>
        <v>2423.4</v>
      </c>
      <c r="I112" s="522"/>
      <c r="J112" s="522">
        <f>J113</f>
        <v>2423.4</v>
      </c>
      <c r="K112" s="522"/>
      <c r="L112" s="154"/>
      <c r="N112" s="154"/>
      <c r="O112" s="154"/>
    </row>
    <row r="113" spans="1:15" s="138" customFormat="1" x14ac:dyDescent="0.25">
      <c r="A113" s="375" t="s">
        <v>96</v>
      </c>
      <c r="B113" s="191" t="s">
        <v>29</v>
      </c>
      <c r="C113" s="4" t="s">
        <v>95</v>
      </c>
      <c r="D113" s="156" t="s">
        <v>278</v>
      </c>
      <c r="E113" s="326">
        <v>120</v>
      </c>
      <c r="F113" s="159">
        <f>'ведом. 2025-2027'!AD1022</f>
        <v>2423.4</v>
      </c>
      <c r="G113" s="306"/>
      <c r="H113" s="522">
        <f>'ведом. 2025-2027'!AE1022</f>
        <v>2423.4</v>
      </c>
      <c r="I113" s="522"/>
      <c r="J113" s="522">
        <f>'ведом. 2025-2027'!AF1022</f>
        <v>2423.4</v>
      </c>
      <c r="K113" s="522"/>
      <c r="L113" s="154"/>
      <c r="N113" s="154"/>
      <c r="O113" s="154"/>
    </row>
    <row r="114" spans="1:15" s="138" customFormat="1" ht="31.5" x14ac:dyDescent="0.25">
      <c r="A114" s="375" t="s">
        <v>280</v>
      </c>
      <c r="B114" s="191" t="s">
        <v>29</v>
      </c>
      <c r="C114" s="4" t="s">
        <v>95</v>
      </c>
      <c r="D114" s="156" t="s">
        <v>279</v>
      </c>
      <c r="E114" s="326"/>
      <c r="F114" s="159">
        <f>F115</f>
        <v>4460</v>
      </c>
      <c r="G114" s="306"/>
      <c r="H114" s="522">
        <f>H115</f>
        <v>4460</v>
      </c>
      <c r="I114" s="522"/>
      <c r="J114" s="522">
        <f>J115</f>
        <v>4460</v>
      </c>
      <c r="K114" s="522"/>
      <c r="L114" s="154"/>
      <c r="N114" s="154"/>
      <c r="O114" s="154"/>
    </row>
    <row r="115" spans="1:15" s="138" customFormat="1" ht="47.25" x14ac:dyDescent="0.25">
      <c r="A115" s="375" t="s">
        <v>41</v>
      </c>
      <c r="B115" s="191" t="s">
        <v>29</v>
      </c>
      <c r="C115" s="4" t="s">
        <v>95</v>
      </c>
      <c r="D115" s="156" t="s">
        <v>279</v>
      </c>
      <c r="E115" s="326">
        <v>100</v>
      </c>
      <c r="F115" s="159">
        <f>F116</f>
        <v>4460</v>
      </c>
      <c r="G115" s="306"/>
      <c r="H115" s="522">
        <f>H116</f>
        <v>4460</v>
      </c>
      <c r="I115" s="522"/>
      <c r="J115" s="522">
        <f>J116</f>
        <v>4460</v>
      </c>
      <c r="K115" s="522"/>
      <c r="L115" s="154"/>
      <c r="N115" s="154"/>
      <c r="O115" s="154"/>
    </row>
    <row r="116" spans="1:15" s="138" customFormat="1" x14ac:dyDescent="0.25">
      <c r="A116" s="375" t="s">
        <v>96</v>
      </c>
      <c r="B116" s="191" t="s">
        <v>29</v>
      </c>
      <c r="C116" s="4" t="s">
        <v>95</v>
      </c>
      <c r="D116" s="156" t="s">
        <v>279</v>
      </c>
      <c r="E116" s="326">
        <v>120</v>
      </c>
      <c r="F116" s="159">
        <f>'ведом. 2025-2027'!AD1025</f>
        <v>4460</v>
      </c>
      <c r="G116" s="306"/>
      <c r="H116" s="522">
        <f>'ведом. 2025-2027'!AE1025</f>
        <v>4460</v>
      </c>
      <c r="I116" s="522"/>
      <c r="J116" s="522">
        <f>'ведом. 2025-2027'!AF1025</f>
        <v>4460</v>
      </c>
      <c r="K116" s="522"/>
      <c r="L116" s="154"/>
      <c r="N116" s="154"/>
      <c r="O116" s="154"/>
    </row>
    <row r="117" spans="1:15" s="177" customFormat="1" ht="31.5" x14ac:dyDescent="0.25">
      <c r="A117" s="253" t="s">
        <v>403</v>
      </c>
      <c r="B117" s="191" t="s">
        <v>29</v>
      </c>
      <c r="C117" s="4" t="s">
        <v>95</v>
      </c>
      <c r="D117" s="156" t="s">
        <v>404</v>
      </c>
      <c r="E117" s="326"/>
      <c r="F117" s="159">
        <f>F118</f>
        <v>2944.8</v>
      </c>
      <c r="G117" s="306"/>
      <c r="H117" s="522">
        <f>H118</f>
        <v>2531.8000000000002</v>
      </c>
      <c r="I117" s="522"/>
      <c r="J117" s="522">
        <f>J118</f>
        <v>2531.8000000000002</v>
      </c>
      <c r="K117" s="522"/>
      <c r="L117" s="154"/>
      <c r="N117" s="154"/>
      <c r="O117" s="154"/>
    </row>
    <row r="118" spans="1:15" s="177" customFormat="1" ht="47.25" x14ac:dyDescent="0.25">
      <c r="A118" s="253" t="s">
        <v>41</v>
      </c>
      <c r="B118" s="191" t="s">
        <v>29</v>
      </c>
      <c r="C118" s="4" t="s">
        <v>95</v>
      </c>
      <c r="D118" s="156" t="s">
        <v>404</v>
      </c>
      <c r="E118" s="326">
        <v>100</v>
      </c>
      <c r="F118" s="159">
        <f>F119</f>
        <v>2944.8</v>
      </c>
      <c r="G118" s="306"/>
      <c r="H118" s="522">
        <f>H119</f>
        <v>2531.8000000000002</v>
      </c>
      <c r="I118" s="522"/>
      <c r="J118" s="522">
        <f>J119</f>
        <v>2531.8000000000002</v>
      </c>
      <c r="K118" s="522"/>
      <c r="L118" s="154"/>
      <c r="N118" s="154"/>
      <c r="O118" s="154"/>
    </row>
    <row r="119" spans="1:15" s="177" customFormat="1" x14ac:dyDescent="0.25">
      <c r="A119" s="253" t="s">
        <v>96</v>
      </c>
      <c r="B119" s="191" t="s">
        <v>29</v>
      </c>
      <c r="C119" s="4" t="s">
        <v>95</v>
      </c>
      <c r="D119" s="156" t="s">
        <v>404</v>
      </c>
      <c r="E119" s="326">
        <v>120</v>
      </c>
      <c r="F119" s="159">
        <f>'ведом. 2025-2027'!AD1028</f>
        <v>2944.8</v>
      </c>
      <c r="G119" s="306"/>
      <c r="H119" s="522">
        <f>'ведом. 2025-2027'!AE1028</f>
        <v>2531.8000000000002</v>
      </c>
      <c r="I119" s="522"/>
      <c r="J119" s="522">
        <f>'ведом. 2025-2027'!AF1028</f>
        <v>2531.8000000000002</v>
      </c>
      <c r="K119" s="522"/>
      <c r="L119" s="154"/>
      <c r="N119" s="154"/>
      <c r="O119" s="154"/>
    </row>
    <row r="120" spans="1:15" s="177" customFormat="1" x14ac:dyDescent="0.25">
      <c r="A120" s="253" t="s">
        <v>43</v>
      </c>
      <c r="B120" s="1" t="s">
        <v>29</v>
      </c>
      <c r="C120" s="4" t="s">
        <v>8</v>
      </c>
      <c r="D120" s="291"/>
      <c r="E120" s="283"/>
      <c r="F120" s="159">
        <f>F121</f>
        <v>6400</v>
      </c>
      <c r="G120" s="159"/>
      <c r="H120" s="522">
        <f>H121</f>
        <v>0</v>
      </c>
      <c r="I120" s="522"/>
      <c r="J120" s="522">
        <f>J121</f>
        <v>0</v>
      </c>
      <c r="K120" s="522"/>
      <c r="L120" s="154"/>
      <c r="N120" s="154"/>
      <c r="O120" s="154"/>
    </row>
    <row r="121" spans="1:15" s="177" customFormat="1" x14ac:dyDescent="0.25">
      <c r="A121" s="273" t="s">
        <v>332</v>
      </c>
      <c r="B121" s="1" t="s">
        <v>29</v>
      </c>
      <c r="C121" s="4" t="s">
        <v>8</v>
      </c>
      <c r="D121" s="291" t="s">
        <v>137</v>
      </c>
      <c r="E121" s="284"/>
      <c r="F121" s="159">
        <f>F122</f>
        <v>6400</v>
      </c>
      <c r="G121" s="159"/>
      <c r="H121" s="522">
        <f>H122</f>
        <v>0</v>
      </c>
      <c r="I121" s="522"/>
      <c r="J121" s="522">
        <f>J122</f>
        <v>0</v>
      </c>
      <c r="K121" s="522"/>
      <c r="L121" s="154"/>
      <c r="N121" s="154"/>
      <c r="O121" s="154"/>
    </row>
    <row r="122" spans="1:15" s="177" customFormat="1" x14ac:dyDescent="0.25">
      <c r="A122" s="253" t="s">
        <v>614</v>
      </c>
      <c r="B122" s="1" t="s">
        <v>29</v>
      </c>
      <c r="C122" s="4" t="s">
        <v>8</v>
      </c>
      <c r="D122" s="291" t="s">
        <v>615</v>
      </c>
      <c r="E122" s="283"/>
      <c r="F122" s="159">
        <f>F123</f>
        <v>6400</v>
      </c>
      <c r="G122" s="159"/>
      <c r="H122" s="522">
        <f>H123</f>
        <v>0</v>
      </c>
      <c r="I122" s="522"/>
      <c r="J122" s="522">
        <f>J123</f>
        <v>0</v>
      </c>
      <c r="K122" s="522"/>
      <c r="L122" s="154"/>
      <c r="N122" s="154"/>
      <c r="O122" s="154"/>
    </row>
    <row r="123" spans="1:15" s="177" customFormat="1" x14ac:dyDescent="0.25">
      <c r="A123" s="451" t="s">
        <v>42</v>
      </c>
      <c r="B123" s="1" t="s">
        <v>29</v>
      </c>
      <c r="C123" s="4" t="s">
        <v>8</v>
      </c>
      <c r="D123" s="291" t="s">
        <v>615</v>
      </c>
      <c r="E123" s="283">
        <v>800</v>
      </c>
      <c r="F123" s="159">
        <f>F124</f>
        <v>6400</v>
      </c>
      <c r="G123" s="159"/>
      <c r="H123" s="522">
        <f>H124</f>
        <v>0</v>
      </c>
      <c r="I123" s="522"/>
      <c r="J123" s="522">
        <f>J124</f>
        <v>0</v>
      </c>
      <c r="K123" s="522"/>
      <c r="L123" s="154"/>
      <c r="N123" s="154"/>
      <c r="O123" s="154"/>
    </row>
    <row r="124" spans="1:15" s="177" customFormat="1" x14ac:dyDescent="0.25">
      <c r="A124" s="451" t="s">
        <v>621</v>
      </c>
      <c r="B124" s="1" t="s">
        <v>29</v>
      </c>
      <c r="C124" s="4" t="s">
        <v>8</v>
      </c>
      <c r="D124" s="291" t="s">
        <v>615</v>
      </c>
      <c r="E124" s="283">
        <v>880</v>
      </c>
      <c r="F124" s="159">
        <f>'ведом. 2025-2027'!AD66</f>
        <v>6400</v>
      </c>
      <c r="G124" s="159"/>
      <c r="H124" s="522">
        <f>'ведом. 2025-2027'!AE66</f>
        <v>0</v>
      </c>
      <c r="I124" s="522"/>
      <c r="J124" s="522">
        <f>'ведом. 2025-2027'!AF66</f>
        <v>0</v>
      </c>
      <c r="K124" s="522"/>
      <c r="L124" s="154"/>
      <c r="N124" s="154"/>
      <c r="O124" s="154"/>
    </row>
    <row r="125" spans="1:15" s="138" customFormat="1" x14ac:dyDescent="0.25">
      <c r="A125" s="375" t="s">
        <v>2</v>
      </c>
      <c r="B125" s="191" t="s">
        <v>29</v>
      </c>
      <c r="C125" s="4">
        <v>11</v>
      </c>
      <c r="D125" s="321"/>
      <c r="E125" s="326"/>
      <c r="F125" s="159">
        <f>F126</f>
        <v>1000</v>
      </c>
      <c r="G125" s="306"/>
      <c r="H125" s="522">
        <f>H126</f>
        <v>0</v>
      </c>
      <c r="I125" s="522"/>
      <c r="J125" s="522">
        <f>J126</f>
        <v>0</v>
      </c>
      <c r="K125" s="522"/>
      <c r="L125" s="154"/>
      <c r="N125" s="154"/>
      <c r="O125" s="154"/>
    </row>
    <row r="126" spans="1:15" s="138" customFormat="1" x14ac:dyDescent="0.25">
      <c r="A126" s="375" t="s">
        <v>332</v>
      </c>
      <c r="B126" s="453" t="s">
        <v>29</v>
      </c>
      <c r="C126" s="454">
        <v>11</v>
      </c>
      <c r="D126" s="455" t="s">
        <v>137</v>
      </c>
      <c r="E126" s="460"/>
      <c r="F126" s="159">
        <f>F127</f>
        <v>1000</v>
      </c>
      <c r="G126" s="159"/>
      <c r="H126" s="522">
        <f>H127</f>
        <v>0</v>
      </c>
      <c r="I126" s="522"/>
      <c r="J126" s="522">
        <f>J127</f>
        <v>0</v>
      </c>
      <c r="K126" s="522"/>
      <c r="L126" s="154"/>
      <c r="N126" s="154"/>
      <c r="O126" s="154"/>
    </row>
    <row r="127" spans="1:15" s="138" customFormat="1" ht="31.5" x14ac:dyDescent="0.25">
      <c r="A127" s="278" t="s">
        <v>325</v>
      </c>
      <c r="B127" s="191" t="s">
        <v>29</v>
      </c>
      <c r="C127" s="4">
        <v>11</v>
      </c>
      <c r="D127" s="156" t="s">
        <v>326</v>
      </c>
      <c r="E127" s="326"/>
      <c r="F127" s="159">
        <f>F128</f>
        <v>1000</v>
      </c>
      <c r="G127" s="306"/>
      <c r="H127" s="522">
        <f>H128</f>
        <v>0</v>
      </c>
      <c r="I127" s="522"/>
      <c r="J127" s="522">
        <f>J128</f>
        <v>0</v>
      </c>
      <c r="K127" s="522"/>
      <c r="L127" s="154"/>
      <c r="N127" s="154"/>
      <c r="O127" s="154"/>
    </row>
    <row r="128" spans="1:15" s="138" customFormat="1" x14ac:dyDescent="0.25">
      <c r="A128" s="253" t="s">
        <v>42</v>
      </c>
      <c r="B128" s="191" t="s">
        <v>29</v>
      </c>
      <c r="C128" s="4">
        <v>11</v>
      </c>
      <c r="D128" s="156" t="s">
        <v>326</v>
      </c>
      <c r="E128" s="326">
        <v>800</v>
      </c>
      <c r="F128" s="159">
        <f>F129</f>
        <v>1000</v>
      </c>
      <c r="G128" s="306"/>
      <c r="H128" s="522">
        <f>H129</f>
        <v>0</v>
      </c>
      <c r="I128" s="522"/>
      <c r="J128" s="522">
        <f>J129</f>
        <v>0</v>
      </c>
      <c r="K128" s="522"/>
      <c r="L128" s="154"/>
      <c r="N128" s="154"/>
      <c r="O128" s="154"/>
    </row>
    <row r="129" spans="1:15" s="138" customFormat="1" x14ac:dyDescent="0.25">
      <c r="A129" s="451" t="s">
        <v>136</v>
      </c>
      <c r="B129" s="191" t="s">
        <v>29</v>
      </c>
      <c r="C129" s="4">
        <v>11</v>
      </c>
      <c r="D129" s="156" t="s">
        <v>326</v>
      </c>
      <c r="E129" s="326">
        <v>870</v>
      </c>
      <c r="F129" s="159">
        <f>'ведом. 2025-2027'!AD71</f>
        <v>1000</v>
      </c>
      <c r="G129" s="306"/>
      <c r="H129" s="522">
        <f>'ведом. 2025-2027'!AE71</f>
        <v>0</v>
      </c>
      <c r="I129" s="522"/>
      <c r="J129" s="522">
        <f>'ведом. 2025-2027'!AF71</f>
        <v>0</v>
      </c>
      <c r="K129" s="522"/>
      <c r="L129" s="154"/>
      <c r="N129" s="154"/>
      <c r="O129" s="154"/>
    </row>
    <row r="130" spans="1:15" s="138" customFormat="1" x14ac:dyDescent="0.25">
      <c r="A130" s="375" t="s">
        <v>14</v>
      </c>
      <c r="B130" s="191" t="s">
        <v>29</v>
      </c>
      <c r="C130" s="4">
        <v>13</v>
      </c>
      <c r="D130" s="321"/>
      <c r="E130" s="326"/>
      <c r="F130" s="159">
        <f t="shared" ref="F130:K130" si="17">F131+F196+F202+F208</f>
        <v>272229.09999999998</v>
      </c>
      <c r="G130" s="159">
        <f t="shared" si="17"/>
        <v>1643.6</v>
      </c>
      <c r="H130" s="522">
        <f t="shared" si="17"/>
        <v>174181.9</v>
      </c>
      <c r="I130" s="522">
        <f t="shared" si="17"/>
        <v>2565</v>
      </c>
      <c r="J130" s="522">
        <f t="shared" si="17"/>
        <v>160417.79999999999</v>
      </c>
      <c r="K130" s="522">
        <f t="shared" si="17"/>
        <v>1663.2000000000003</v>
      </c>
      <c r="L130" s="154"/>
      <c r="N130" s="154"/>
      <c r="O130" s="154"/>
    </row>
    <row r="131" spans="1:15" s="138" customFormat="1" x14ac:dyDescent="0.25">
      <c r="A131" s="255" t="s">
        <v>186</v>
      </c>
      <c r="B131" s="191" t="s">
        <v>29</v>
      </c>
      <c r="C131" s="4">
        <v>13</v>
      </c>
      <c r="D131" s="156" t="s">
        <v>112</v>
      </c>
      <c r="E131" s="326"/>
      <c r="F131" s="159">
        <f t="shared" ref="F131:K131" si="18">F132+F160</f>
        <v>201898.5</v>
      </c>
      <c r="G131" s="306">
        <f t="shared" si="18"/>
        <v>1643</v>
      </c>
      <c r="H131" s="522">
        <f t="shared" si="18"/>
        <v>119121</v>
      </c>
      <c r="I131" s="522">
        <f t="shared" si="18"/>
        <v>1643.0000000000002</v>
      </c>
      <c r="J131" s="522">
        <f t="shared" si="18"/>
        <v>104795.9</v>
      </c>
      <c r="K131" s="522">
        <f t="shared" si="18"/>
        <v>1643.0000000000002</v>
      </c>
      <c r="L131" s="154"/>
      <c r="N131" s="154"/>
      <c r="O131" s="154"/>
    </row>
    <row r="132" spans="1:15" s="138" customFormat="1" x14ac:dyDescent="0.25">
      <c r="A132" s="255" t="s">
        <v>530</v>
      </c>
      <c r="B132" s="191" t="s">
        <v>29</v>
      </c>
      <c r="C132" s="4">
        <v>13</v>
      </c>
      <c r="D132" s="156" t="s">
        <v>113</v>
      </c>
      <c r="E132" s="326"/>
      <c r="F132" s="159">
        <f t="shared" ref="F132:K132" si="19">F133+F143+F149</f>
        <v>58899.3</v>
      </c>
      <c r="G132" s="306">
        <f t="shared" si="19"/>
        <v>1643</v>
      </c>
      <c r="H132" s="522">
        <f t="shared" si="19"/>
        <v>41687.699999999997</v>
      </c>
      <c r="I132" s="522">
        <f t="shared" si="19"/>
        <v>1643.0000000000002</v>
      </c>
      <c r="J132" s="522">
        <f t="shared" si="19"/>
        <v>27360.6</v>
      </c>
      <c r="K132" s="522">
        <f t="shared" si="19"/>
        <v>1643.0000000000002</v>
      </c>
      <c r="L132" s="154"/>
      <c r="N132" s="154"/>
      <c r="O132" s="154"/>
    </row>
    <row r="133" spans="1:15" s="138" customFormat="1" ht="31.5" x14ac:dyDescent="0.25">
      <c r="A133" s="256" t="s">
        <v>182</v>
      </c>
      <c r="B133" s="191" t="s">
        <v>29</v>
      </c>
      <c r="C133" s="4">
        <v>13</v>
      </c>
      <c r="D133" s="156" t="s">
        <v>183</v>
      </c>
      <c r="E133" s="326"/>
      <c r="F133" s="159">
        <f>F134</f>
        <v>29742</v>
      </c>
      <c r="G133" s="306"/>
      <c r="H133" s="522">
        <f>H134</f>
        <v>14527.099999999999</v>
      </c>
      <c r="I133" s="522"/>
      <c r="J133" s="522">
        <f>J134</f>
        <v>200</v>
      </c>
      <c r="K133" s="522"/>
      <c r="L133" s="154"/>
      <c r="N133" s="154"/>
      <c r="O133" s="154"/>
    </row>
    <row r="134" spans="1:15" s="138" customFormat="1" ht="36" customHeight="1" x14ac:dyDescent="0.25">
      <c r="A134" s="278" t="s">
        <v>774</v>
      </c>
      <c r="B134" s="191" t="s">
        <v>29</v>
      </c>
      <c r="C134" s="4">
        <v>13</v>
      </c>
      <c r="D134" s="156" t="s">
        <v>185</v>
      </c>
      <c r="E134" s="325"/>
      <c r="F134" s="159">
        <f>F135+F139+F137+F141</f>
        <v>29742</v>
      </c>
      <c r="G134" s="522"/>
      <c r="H134" s="522">
        <f t="shared" ref="H134:J134" si="20">H135+H139+H137+H141</f>
        <v>14527.099999999999</v>
      </c>
      <c r="I134" s="522"/>
      <c r="J134" s="522">
        <f t="shared" si="20"/>
        <v>200</v>
      </c>
      <c r="K134" s="522"/>
      <c r="L134" s="154"/>
      <c r="N134" s="154"/>
      <c r="O134" s="154"/>
    </row>
    <row r="135" spans="1:15" s="138" customFormat="1" x14ac:dyDescent="0.25">
      <c r="A135" s="375" t="s">
        <v>120</v>
      </c>
      <c r="B135" s="191" t="s">
        <v>29</v>
      </c>
      <c r="C135" s="4">
        <v>13</v>
      </c>
      <c r="D135" s="156" t="s">
        <v>185</v>
      </c>
      <c r="E135" s="326">
        <v>200</v>
      </c>
      <c r="F135" s="159">
        <f>F136</f>
        <v>15380.9</v>
      </c>
      <c r="G135" s="306"/>
      <c r="H135" s="522">
        <f>H136</f>
        <v>700</v>
      </c>
      <c r="I135" s="522"/>
      <c r="J135" s="522">
        <f>J136</f>
        <v>200</v>
      </c>
      <c r="K135" s="522"/>
      <c r="L135" s="154"/>
      <c r="N135" s="154"/>
      <c r="O135" s="154"/>
    </row>
    <row r="136" spans="1:15" s="138" customFormat="1" ht="31.5" x14ac:dyDescent="0.25">
      <c r="A136" s="375" t="s">
        <v>52</v>
      </c>
      <c r="B136" s="191" t="s">
        <v>29</v>
      </c>
      <c r="C136" s="4">
        <v>13</v>
      </c>
      <c r="D136" s="156" t="s">
        <v>185</v>
      </c>
      <c r="E136" s="326">
        <v>240</v>
      </c>
      <c r="F136" s="159">
        <f>'ведом. 2025-2027'!AD576+'ведом. 2025-2027'!AD805+'ведом. 2025-2027'!AD78</f>
        <v>15380.9</v>
      </c>
      <c r="G136" s="306"/>
      <c r="H136" s="522">
        <f>'ведом. 2025-2027'!AE576+'ведом. 2025-2027'!AE805</f>
        <v>700</v>
      </c>
      <c r="I136" s="522"/>
      <c r="J136" s="522">
        <f>'ведом. 2025-2027'!AF576+'ведом. 2025-2027'!AF805</f>
        <v>200</v>
      </c>
      <c r="K136" s="522"/>
      <c r="L136" s="154"/>
      <c r="N136" s="154"/>
      <c r="O136" s="154"/>
    </row>
    <row r="137" spans="1:15" s="177" customFormat="1" x14ac:dyDescent="0.25">
      <c r="A137" s="253" t="s">
        <v>97</v>
      </c>
      <c r="B137" s="191" t="s">
        <v>29</v>
      </c>
      <c r="C137" s="4">
        <v>13</v>
      </c>
      <c r="D137" s="156" t="s">
        <v>185</v>
      </c>
      <c r="E137" s="326">
        <v>300</v>
      </c>
      <c r="F137" s="159">
        <f>F138</f>
        <v>2233.2999999999997</v>
      </c>
      <c r="G137" s="306"/>
      <c r="H137" s="522">
        <f>H138</f>
        <v>2279.1999999999998</v>
      </c>
      <c r="I137" s="522"/>
      <c r="J137" s="522">
        <f>J138</f>
        <v>0</v>
      </c>
      <c r="K137" s="522"/>
      <c r="L137" s="154"/>
      <c r="N137" s="154"/>
      <c r="O137" s="154"/>
    </row>
    <row r="138" spans="1:15" s="177" customFormat="1" x14ac:dyDescent="0.25">
      <c r="A138" s="253" t="s">
        <v>421</v>
      </c>
      <c r="B138" s="191" t="s">
        <v>29</v>
      </c>
      <c r="C138" s="4">
        <v>13</v>
      </c>
      <c r="D138" s="156" t="s">
        <v>185</v>
      </c>
      <c r="E138" s="326">
        <v>360</v>
      </c>
      <c r="F138" s="159">
        <f>'ведом. 2025-2027'!AD80</f>
        <v>2233.2999999999997</v>
      </c>
      <c r="G138" s="306"/>
      <c r="H138" s="522">
        <f>'ведом. 2025-2027'!AE80</f>
        <v>2279.1999999999998</v>
      </c>
      <c r="I138" s="522"/>
      <c r="J138" s="522">
        <f>'ведом. 2025-2027'!AF80</f>
        <v>0</v>
      </c>
      <c r="K138" s="522"/>
      <c r="L138" s="154"/>
      <c r="N138" s="154"/>
      <c r="O138" s="154"/>
    </row>
    <row r="139" spans="1:15" s="177" customFormat="1" ht="31.5" x14ac:dyDescent="0.25">
      <c r="A139" s="375" t="s">
        <v>60</v>
      </c>
      <c r="B139" s="191" t="s">
        <v>29</v>
      </c>
      <c r="C139" s="4">
        <v>13</v>
      </c>
      <c r="D139" s="156" t="s">
        <v>185</v>
      </c>
      <c r="E139" s="326">
        <v>600</v>
      </c>
      <c r="F139" s="159">
        <f>F140</f>
        <v>11547.9</v>
      </c>
      <c r="G139" s="306"/>
      <c r="H139" s="522">
        <f>H140</f>
        <v>11547.9</v>
      </c>
      <c r="I139" s="522"/>
      <c r="J139" s="522">
        <f>J140</f>
        <v>0</v>
      </c>
      <c r="K139" s="522"/>
      <c r="L139" s="154"/>
      <c r="N139" s="154"/>
      <c r="O139" s="154"/>
    </row>
    <row r="140" spans="1:15" s="177" customFormat="1" x14ac:dyDescent="0.25">
      <c r="A140" s="375" t="s">
        <v>61</v>
      </c>
      <c r="B140" s="191" t="s">
        <v>29</v>
      </c>
      <c r="C140" s="4">
        <v>13</v>
      </c>
      <c r="D140" s="156" t="s">
        <v>185</v>
      </c>
      <c r="E140" s="326">
        <v>610</v>
      </c>
      <c r="F140" s="159">
        <f>'ведом. 2025-2027'!AD82</f>
        <v>11547.9</v>
      </c>
      <c r="G140" s="306"/>
      <c r="H140" s="522">
        <f>'ведом. 2025-2027'!AE82</f>
        <v>11547.9</v>
      </c>
      <c r="I140" s="522"/>
      <c r="J140" s="522">
        <f>'ведом. 2025-2027'!AF82</f>
        <v>0</v>
      </c>
      <c r="K140" s="522"/>
      <c r="L140" s="154"/>
      <c r="N140" s="154"/>
      <c r="O140" s="154"/>
    </row>
    <row r="141" spans="1:15" s="519" customFormat="1" x14ac:dyDescent="0.25">
      <c r="A141" s="451" t="s">
        <v>42</v>
      </c>
      <c r="B141" s="191" t="s">
        <v>29</v>
      </c>
      <c r="C141" s="516">
        <v>13</v>
      </c>
      <c r="D141" s="156" t="s">
        <v>185</v>
      </c>
      <c r="E141" s="326">
        <v>800</v>
      </c>
      <c r="F141" s="522">
        <f>F142</f>
        <v>579.9</v>
      </c>
      <c r="G141" s="522"/>
      <c r="H141" s="522">
        <f t="shared" ref="H141:J141" si="21">H142</f>
        <v>0</v>
      </c>
      <c r="I141" s="522"/>
      <c r="J141" s="522">
        <f t="shared" si="21"/>
        <v>0</v>
      </c>
      <c r="K141" s="522"/>
      <c r="L141" s="521"/>
      <c r="N141" s="521"/>
      <c r="O141" s="521"/>
    </row>
    <row r="142" spans="1:15" s="519" customFormat="1" x14ac:dyDescent="0.25">
      <c r="A142" s="451" t="s">
        <v>57</v>
      </c>
      <c r="B142" s="191" t="s">
        <v>29</v>
      </c>
      <c r="C142" s="516">
        <v>13</v>
      </c>
      <c r="D142" s="156" t="s">
        <v>185</v>
      </c>
      <c r="E142" s="326">
        <v>850</v>
      </c>
      <c r="F142" s="522">
        <f>'ведом. 2025-2027'!AD578</f>
        <v>579.9</v>
      </c>
      <c r="G142" s="524"/>
      <c r="H142" s="522">
        <f>'ведом. 2025-2027'!AE578</f>
        <v>0</v>
      </c>
      <c r="I142" s="522"/>
      <c r="J142" s="522">
        <f>'ведом. 2025-2027'!AF578</f>
        <v>0</v>
      </c>
      <c r="K142" s="522"/>
      <c r="L142" s="521"/>
      <c r="N142" s="521"/>
      <c r="O142" s="521"/>
    </row>
    <row r="143" spans="1:15" s="138" customFormat="1" ht="47.25" x14ac:dyDescent="0.25">
      <c r="A143" s="466" t="s">
        <v>722</v>
      </c>
      <c r="B143" s="191" t="s">
        <v>29</v>
      </c>
      <c r="C143" s="4">
        <v>13</v>
      </c>
      <c r="D143" s="156" t="s">
        <v>187</v>
      </c>
      <c r="E143" s="327"/>
      <c r="F143" s="159">
        <f t="shared" ref="F143:K143" si="22">F144</f>
        <v>1643</v>
      </c>
      <c r="G143" s="306">
        <f t="shared" si="22"/>
        <v>1643</v>
      </c>
      <c r="H143" s="522">
        <f t="shared" si="22"/>
        <v>1643.0000000000002</v>
      </c>
      <c r="I143" s="522">
        <f t="shared" si="22"/>
        <v>1643.0000000000002</v>
      </c>
      <c r="J143" s="522">
        <f t="shared" si="22"/>
        <v>1643.0000000000002</v>
      </c>
      <c r="K143" s="522">
        <f t="shared" si="22"/>
        <v>1643.0000000000002</v>
      </c>
      <c r="L143" s="154"/>
      <c r="N143" s="154"/>
      <c r="O143" s="154"/>
    </row>
    <row r="144" spans="1:15" s="138" customFormat="1" ht="47.25" x14ac:dyDescent="0.25">
      <c r="A144" s="256" t="s">
        <v>611</v>
      </c>
      <c r="B144" s="191" t="s">
        <v>29</v>
      </c>
      <c r="C144" s="4">
        <v>13</v>
      </c>
      <c r="D144" s="291" t="s">
        <v>610</v>
      </c>
      <c r="E144" s="327"/>
      <c r="F144" s="159">
        <f t="shared" ref="F144:K144" si="23">F145+F147</f>
        <v>1643</v>
      </c>
      <c r="G144" s="306">
        <f t="shared" si="23"/>
        <v>1643</v>
      </c>
      <c r="H144" s="522">
        <f t="shared" si="23"/>
        <v>1643.0000000000002</v>
      </c>
      <c r="I144" s="522">
        <f t="shared" si="23"/>
        <v>1643.0000000000002</v>
      </c>
      <c r="J144" s="522">
        <f t="shared" si="23"/>
        <v>1643.0000000000002</v>
      </c>
      <c r="K144" s="522">
        <f t="shared" si="23"/>
        <v>1643.0000000000002</v>
      </c>
      <c r="L144" s="154"/>
      <c r="N144" s="154"/>
      <c r="O144" s="154"/>
    </row>
    <row r="145" spans="1:15" s="171" customFormat="1" ht="47.25" x14ac:dyDescent="0.25">
      <c r="A145" s="375" t="s">
        <v>41</v>
      </c>
      <c r="B145" s="191" t="s">
        <v>29</v>
      </c>
      <c r="C145" s="4">
        <v>13</v>
      </c>
      <c r="D145" s="291" t="s">
        <v>610</v>
      </c>
      <c r="E145" s="327">
        <v>100</v>
      </c>
      <c r="F145" s="159">
        <f t="shared" ref="F145:K145" si="24">F146</f>
        <v>1539.9</v>
      </c>
      <c r="G145" s="306">
        <f t="shared" si="24"/>
        <v>1539.9</v>
      </c>
      <c r="H145" s="522">
        <f t="shared" si="24"/>
        <v>1627.3000000000002</v>
      </c>
      <c r="I145" s="522">
        <f t="shared" si="24"/>
        <v>1627.3000000000002</v>
      </c>
      <c r="J145" s="522">
        <f t="shared" si="24"/>
        <v>1627.3000000000002</v>
      </c>
      <c r="K145" s="522">
        <f t="shared" si="24"/>
        <v>1627.3000000000002</v>
      </c>
      <c r="L145" s="154"/>
      <c r="N145" s="154"/>
      <c r="O145" s="154"/>
    </row>
    <row r="146" spans="1:15" s="138" customFormat="1" x14ac:dyDescent="0.25">
      <c r="A146" s="375" t="s">
        <v>96</v>
      </c>
      <c r="B146" s="191" t="s">
        <v>29</v>
      </c>
      <c r="C146" s="4">
        <v>13</v>
      </c>
      <c r="D146" s="291" t="s">
        <v>610</v>
      </c>
      <c r="E146" s="327">
        <v>120</v>
      </c>
      <c r="F146" s="159">
        <f>'ведом. 2025-2027'!AD582+'ведом. 2025-2027'!AD86</f>
        <v>1539.9</v>
      </c>
      <c r="G146" s="306">
        <f>F146</f>
        <v>1539.9</v>
      </c>
      <c r="H146" s="522">
        <f>'ведом. 2025-2027'!AE86+'ведом. 2025-2027'!AE582</f>
        <v>1627.3000000000002</v>
      </c>
      <c r="I146" s="522">
        <f>H146</f>
        <v>1627.3000000000002</v>
      </c>
      <c r="J146" s="522">
        <f>'ведом. 2025-2027'!AF86+'ведом. 2025-2027'!AF582</f>
        <v>1627.3000000000002</v>
      </c>
      <c r="K146" s="522">
        <f>J146</f>
        <v>1627.3000000000002</v>
      </c>
      <c r="L146" s="154"/>
      <c r="N146" s="154"/>
      <c r="O146" s="154"/>
    </row>
    <row r="147" spans="1:15" s="138" customFormat="1" x14ac:dyDescent="0.25">
      <c r="A147" s="375" t="s">
        <v>120</v>
      </c>
      <c r="B147" s="191" t="s">
        <v>29</v>
      </c>
      <c r="C147" s="4">
        <v>13</v>
      </c>
      <c r="D147" s="291" t="s">
        <v>610</v>
      </c>
      <c r="E147" s="327">
        <v>200</v>
      </c>
      <c r="F147" s="159">
        <f t="shared" ref="F147:K147" si="25">F148</f>
        <v>103.10000000000001</v>
      </c>
      <c r="G147" s="306">
        <f t="shared" si="25"/>
        <v>103.10000000000001</v>
      </c>
      <c r="H147" s="522">
        <f t="shared" si="25"/>
        <v>15.7</v>
      </c>
      <c r="I147" s="522">
        <f t="shared" si="25"/>
        <v>15.7</v>
      </c>
      <c r="J147" s="522">
        <f t="shared" si="25"/>
        <v>15.7</v>
      </c>
      <c r="K147" s="522">
        <f t="shared" si="25"/>
        <v>15.7</v>
      </c>
      <c r="L147" s="154"/>
      <c r="N147" s="154"/>
      <c r="O147" s="154"/>
    </row>
    <row r="148" spans="1:15" s="138" customFormat="1" ht="31.5" x14ac:dyDescent="0.25">
      <c r="A148" s="375" t="s">
        <v>52</v>
      </c>
      <c r="B148" s="191" t="s">
        <v>29</v>
      </c>
      <c r="C148" s="4">
        <v>13</v>
      </c>
      <c r="D148" s="291" t="s">
        <v>610</v>
      </c>
      <c r="E148" s="327">
        <v>240</v>
      </c>
      <c r="F148" s="159">
        <f>'ведом. 2025-2027'!AD584+'ведом. 2025-2027'!AD88</f>
        <v>103.10000000000001</v>
      </c>
      <c r="G148" s="306">
        <f>F148</f>
        <v>103.10000000000001</v>
      </c>
      <c r="H148" s="522">
        <f>'ведом. 2025-2027'!AE584+'ведом. 2025-2027'!AE88</f>
        <v>15.7</v>
      </c>
      <c r="I148" s="522">
        <f>H148</f>
        <v>15.7</v>
      </c>
      <c r="J148" s="522">
        <f>'ведом. 2025-2027'!AF584+'ведом. 2025-2027'!AF88</f>
        <v>15.7</v>
      </c>
      <c r="K148" s="522">
        <f>J148</f>
        <v>15.7</v>
      </c>
      <c r="L148" s="154"/>
      <c r="N148" s="154"/>
      <c r="O148" s="154"/>
    </row>
    <row r="149" spans="1:15" s="138" customFormat="1" ht="31.5" x14ac:dyDescent="0.25">
      <c r="A149" s="255" t="s">
        <v>327</v>
      </c>
      <c r="B149" s="191" t="s">
        <v>29</v>
      </c>
      <c r="C149" s="4">
        <v>13</v>
      </c>
      <c r="D149" s="156" t="s">
        <v>459</v>
      </c>
      <c r="E149" s="326"/>
      <c r="F149" s="159">
        <f>F150</f>
        <v>27514.300000000003</v>
      </c>
      <c r="G149" s="306"/>
      <c r="H149" s="522">
        <f>H150</f>
        <v>25517.599999999999</v>
      </c>
      <c r="I149" s="522"/>
      <c r="J149" s="522">
        <f>J150</f>
        <v>25517.599999999999</v>
      </c>
      <c r="K149" s="522"/>
      <c r="L149" s="154"/>
      <c r="N149" s="154"/>
      <c r="O149" s="154"/>
    </row>
    <row r="150" spans="1:15" s="138" customFormat="1" x14ac:dyDescent="0.25">
      <c r="A150" s="255" t="s">
        <v>330</v>
      </c>
      <c r="B150" s="191" t="s">
        <v>29</v>
      </c>
      <c r="C150" s="4">
        <v>13</v>
      </c>
      <c r="D150" s="156" t="s">
        <v>460</v>
      </c>
      <c r="E150" s="326"/>
      <c r="F150" s="159">
        <f>F151+F154+F157</f>
        <v>27514.300000000003</v>
      </c>
      <c r="G150" s="306"/>
      <c r="H150" s="522">
        <f>H151+H154+H157</f>
        <v>25517.599999999999</v>
      </c>
      <c r="I150" s="522"/>
      <c r="J150" s="522">
        <f>J151+J154+J157</f>
        <v>25517.599999999999</v>
      </c>
      <c r="K150" s="522"/>
      <c r="L150" s="154"/>
      <c r="N150" s="154"/>
      <c r="O150" s="154"/>
    </row>
    <row r="151" spans="1:15" s="138" customFormat="1" ht="31.5" x14ac:dyDescent="0.25">
      <c r="A151" s="255" t="s">
        <v>206</v>
      </c>
      <c r="B151" s="191" t="s">
        <v>29</v>
      </c>
      <c r="C151" s="4">
        <v>13</v>
      </c>
      <c r="D151" s="156" t="s">
        <v>461</v>
      </c>
      <c r="E151" s="326"/>
      <c r="F151" s="159">
        <f>F152</f>
        <v>3600.8</v>
      </c>
      <c r="G151" s="306"/>
      <c r="H151" s="522">
        <f>H152</f>
        <v>1785.8</v>
      </c>
      <c r="I151" s="522"/>
      <c r="J151" s="522">
        <f>J152</f>
        <v>1785.8</v>
      </c>
      <c r="K151" s="522"/>
      <c r="L151" s="154"/>
      <c r="N151" s="154"/>
      <c r="O151" s="154"/>
    </row>
    <row r="152" spans="1:15" s="138" customFormat="1" x14ac:dyDescent="0.25">
      <c r="A152" s="375" t="s">
        <v>120</v>
      </c>
      <c r="B152" s="191" t="s">
        <v>29</v>
      </c>
      <c r="C152" s="4">
        <v>13</v>
      </c>
      <c r="D152" s="156" t="s">
        <v>461</v>
      </c>
      <c r="E152" s="326">
        <v>200</v>
      </c>
      <c r="F152" s="159">
        <f>F153</f>
        <v>3600.8</v>
      </c>
      <c r="G152" s="306"/>
      <c r="H152" s="522">
        <f>H153</f>
        <v>1785.8</v>
      </c>
      <c r="I152" s="522"/>
      <c r="J152" s="522">
        <f>J153</f>
        <v>1785.8</v>
      </c>
      <c r="K152" s="522"/>
      <c r="L152" s="154"/>
      <c r="N152" s="154"/>
      <c r="O152" s="154"/>
    </row>
    <row r="153" spans="1:15" s="138" customFormat="1" ht="31.5" x14ac:dyDescent="0.25">
      <c r="A153" s="375" t="s">
        <v>52</v>
      </c>
      <c r="B153" s="191" t="s">
        <v>29</v>
      </c>
      <c r="C153" s="4">
        <v>13</v>
      </c>
      <c r="D153" s="156" t="s">
        <v>461</v>
      </c>
      <c r="E153" s="326">
        <v>240</v>
      </c>
      <c r="F153" s="159">
        <f>'ведом. 2025-2027'!AD589</f>
        <v>3600.8</v>
      </c>
      <c r="G153" s="306"/>
      <c r="H153" s="522">
        <f>'ведом. 2025-2027'!AE589</f>
        <v>1785.8</v>
      </c>
      <c r="I153" s="522"/>
      <c r="J153" s="522">
        <f>'ведом. 2025-2027'!AF589</f>
        <v>1785.8</v>
      </c>
      <c r="K153" s="522"/>
      <c r="L153" s="154"/>
      <c r="N153" s="154"/>
      <c r="O153" s="154"/>
    </row>
    <row r="154" spans="1:15" s="138" customFormat="1" ht="31.5" x14ac:dyDescent="0.25">
      <c r="A154" s="375" t="s">
        <v>207</v>
      </c>
      <c r="B154" s="191" t="s">
        <v>29</v>
      </c>
      <c r="C154" s="4">
        <v>13</v>
      </c>
      <c r="D154" s="26" t="str">
        <f>D155</f>
        <v>12 1 04 00132</v>
      </c>
      <c r="E154" s="326"/>
      <c r="F154" s="159">
        <f>F155</f>
        <v>8234.4</v>
      </c>
      <c r="G154" s="306"/>
      <c r="H154" s="522">
        <f>H155</f>
        <v>8211.2999999999993</v>
      </c>
      <c r="I154" s="522"/>
      <c r="J154" s="522">
        <f>J155</f>
        <v>8211.2999999999993</v>
      </c>
      <c r="K154" s="522"/>
      <c r="L154" s="154"/>
      <c r="N154" s="154"/>
      <c r="O154" s="154"/>
    </row>
    <row r="155" spans="1:15" s="138" customFormat="1" ht="47.25" x14ac:dyDescent="0.25">
      <c r="A155" s="375" t="s">
        <v>41</v>
      </c>
      <c r="B155" s="191" t="s">
        <v>29</v>
      </c>
      <c r="C155" s="4">
        <v>13</v>
      </c>
      <c r="D155" s="26" t="str">
        <f>D156</f>
        <v>12 1 04 00132</v>
      </c>
      <c r="E155" s="326">
        <v>100</v>
      </c>
      <c r="F155" s="159">
        <f>F156</f>
        <v>8234.4</v>
      </c>
      <c r="G155" s="306"/>
      <c r="H155" s="522">
        <f>H156</f>
        <v>8211.2999999999993</v>
      </c>
      <c r="I155" s="522"/>
      <c r="J155" s="522">
        <f>J156</f>
        <v>8211.2999999999993</v>
      </c>
      <c r="K155" s="522"/>
      <c r="L155" s="154"/>
      <c r="N155" s="154"/>
      <c r="O155" s="154"/>
    </row>
    <row r="156" spans="1:15" s="138" customFormat="1" x14ac:dyDescent="0.25">
      <c r="A156" s="375" t="s">
        <v>96</v>
      </c>
      <c r="B156" s="191" t="s">
        <v>29</v>
      </c>
      <c r="C156" s="4">
        <v>13</v>
      </c>
      <c r="D156" s="156" t="s">
        <v>462</v>
      </c>
      <c r="E156" s="326">
        <v>120</v>
      </c>
      <c r="F156" s="159">
        <f>'ведом. 2025-2027'!AD592</f>
        <v>8234.4</v>
      </c>
      <c r="G156" s="306"/>
      <c r="H156" s="522">
        <f>'ведом. 2025-2027'!AE592</f>
        <v>8211.2999999999993</v>
      </c>
      <c r="I156" s="522"/>
      <c r="J156" s="522">
        <f>'ведом. 2025-2027'!AF592</f>
        <v>8211.2999999999993</v>
      </c>
      <c r="K156" s="522"/>
      <c r="L156" s="154"/>
      <c r="N156" s="154"/>
      <c r="O156" s="154"/>
    </row>
    <row r="157" spans="1:15" s="138" customFormat="1" ht="31.5" x14ac:dyDescent="0.25">
      <c r="A157" s="375" t="s">
        <v>208</v>
      </c>
      <c r="B157" s="191" t="s">
        <v>29</v>
      </c>
      <c r="C157" s="4">
        <v>13</v>
      </c>
      <c r="D157" s="26" t="str">
        <f>D158</f>
        <v>12 1 04 00133</v>
      </c>
      <c r="E157" s="326"/>
      <c r="F157" s="159">
        <f>F158</f>
        <v>15679.1</v>
      </c>
      <c r="G157" s="306"/>
      <c r="H157" s="522">
        <f>H158</f>
        <v>15520.5</v>
      </c>
      <c r="I157" s="522"/>
      <c r="J157" s="522">
        <f>J158</f>
        <v>15520.5</v>
      </c>
      <c r="K157" s="522"/>
      <c r="L157" s="154"/>
      <c r="N157" s="154"/>
      <c r="O157" s="154"/>
    </row>
    <row r="158" spans="1:15" s="138" customFormat="1" ht="47.25" x14ac:dyDescent="0.25">
      <c r="A158" s="375" t="s">
        <v>41</v>
      </c>
      <c r="B158" s="191" t="s">
        <v>29</v>
      </c>
      <c r="C158" s="4">
        <v>13</v>
      </c>
      <c r="D158" s="26" t="str">
        <f>D159</f>
        <v>12 1 04 00133</v>
      </c>
      <c r="E158" s="326">
        <v>100</v>
      </c>
      <c r="F158" s="159">
        <f>F159</f>
        <v>15679.1</v>
      </c>
      <c r="G158" s="306"/>
      <c r="H158" s="522">
        <f>H159</f>
        <v>15520.5</v>
      </c>
      <c r="I158" s="522"/>
      <c r="J158" s="522">
        <f>J159</f>
        <v>15520.5</v>
      </c>
      <c r="K158" s="522"/>
      <c r="L158" s="154"/>
      <c r="N158" s="154"/>
      <c r="O158" s="154"/>
    </row>
    <row r="159" spans="1:15" s="138" customFormat="1" x14ac:dyDescent="0.25">
      <c r="A159" s="375" t="s">
        <v>96</v>
      </c>
      <c r="B159" s="191" t="s">
        <v>29</v>
      </c>
      <c r="C159" s="4">
        <v>13</v>
      </c>
      <c r="D159" s="156" t="s">
        <v>463</v>
      </c>
      <c r="E159" s="326">
        <v>120</v>
      </c>
      <c r="F159" s="159">
        <f>'ведом. 2025-2027'!AD595</f>
        <v>15679.1</v>
      </c>
      <c r="G159" s="306"/>
      <c r="H159" s="522">
        <f>'ведом. 2025-2027'!AE595</f>
        <v>15520.5</v>
      </c>
      <c r="I159" s="522"/>
      <c r="J159" s="522">
        <f>'ведом. 2025-2027'!AF595</f>
        <v>15520.5</v>
      </c>
      <c r="K159" s="522"/>
      <c r="L159" s="154"/>
      <c r="N159" s="154"/>
      <c r="O159" s="154"/>
    </row>
    <row r="160" spans="1:15" s="138" customFormat="1" x14ac:dyDescent="0.25">
      <c r="A160" s="255" t="s">
        <v>189</v>
      </c>
      <c r="B160" s="191" t="s">
        <v>29</v>
      </c>
      <c r="C160" s="4">
        <v>13</v>
      </c>
      <c r="D160" s="281" t="s">
        <v>190</v>
      </c>
      <c r="E160" s="326"/>
      <c r="F160" s="159">
        <f>F161+F192</f>
        <v>142999.20000000001</v>
      </c>
      <c r="G160" s="522"/>
      <c r="H160" s="522">
        <f t="shared" ref="H160:J160" si="26">H161+H192</f>
        <v>77433.3</v>
      </c>
      <c r="I160" s="522"/>
      <c r="J160" s="522">
        <f t="shared" si="26"/>
        <v>77435.3</v>
      </c>
      <c r="K160" s="522"/>
      <c r="L160" s="154"/>
      <c r="N160" s="154"/>
      <c r="O160" s="154"/>
    </row>
    <row r="161" spans="1:15" s="138" customFormat="1" ht="31.5" x14ac:dyDescent="0.25">
      <c r="A161" s="255" t="s">
        <v>191</v>
      </c>
      <c r="B161" s="191" t="s">
        <v>29</v>
      </c>
      <c r="C161" s="4">
        <v>13</v>
      </c>
      <c r="D161" s="281" t="s">
        <v>192</v>
      </c>
      <c r="E161" s="326"/>
      <c r="F161" s="159">
        <f>F162+F172+F179+F165</f>
        <v>142912</v>
      </c>
      <c r="G161" s="306"/>
      <c r="H161" s="522">
        <f>H162+H172+H179+H165</f>
        <v>77350.400000000009</v>
      </c>
      <c r="I161" s="522"/>
      <c r="J161" s="522">
        <f>J162+J172+J179+J165</f>
        <v>77350.400000000009</v>
      </c>
      <c r="K161" s="522"/>
      <c r="L161" s="154"/>
      <c r="N161" s="154"/>
      <c r="O161" s="154"/>
    </row>
    <row r="162" spans="1:15" s="138" customFormat="1" x14ac:dyDescent="0.25">
      <c r="A162" s="278" t="s">
        <v>223</v>
      </c>
      <c r="B162" s="191" t="s">
        <v>29</v>
      </c>
      <c r="C162" s="4">
        <v>13</v>
      </c>
      <c r="D162" s="281" t="s">
        <v>224</v>
      </c>
      <c r="E162" s="326"/>
      <c r="F162" s="159">
        <f>F163</f>
        <v>160</v>
      </c>
      <c r="G162" s="306"/>
      <c r="H162" s="522">
        <f>H163</f>
        <v>160</v>
      </c>
      <c r="I162" s="522"/>
      <c r="J162" s="522">
        <f>J163</f>
        <v>160</v>
      </c>
      <c r="K162" s="522"/>
      <c r="L162" s="154"/>
      <c r="N162" s="154"/>
      <c r="O162" s="154"/>
    </row>
    <row r="163" spans="1:15" s="138" customFormat="1" x14ac:dyDescent="0.25">
      <c r="A163" s="375" t="s">
        <v>42</v>
      </c>
      <c r="B163" s="191" t="s">
        <v>29</v>
      </c>
      <c r="C163" s="4">
        <v>13</v>
      </c>
      <c r="D163" s="281" t="s">
        <v>224</v>
      </c>
      <c r="E163" s="326">
        <v>800</v>
      </c>
      <c r="F163" s="159">
        <f>F164</f>
        <v>160</v>
      </c>
      <c r="G163" s="306"/>
      <c r="H163" s="522">
        <f>H164</f>
        <v>160</v>
      </c>
      <c r="I163" s="522"/>
      <c r="J163" s="522">
        <f>J164</f>
        <v>160</v>
      </c>
      <c r="K163" s="522"/>
      <c r="L163" s="154"/>
      <c r="N163" s="154"/>
      <c r="O163" s="154"/>
    </row>
    <row r="164" spans="1:15" s="138" customFormat="1" x14ac:dyDescent="0.25">
      <c r="A164" s="375" t="s">
        <v>57</v>
      </c>
      <c r="B164" s="191" t="s">
        <v>29</v>
      </c>
      <c r="C164" s="4">
        <v>13</v>
      </c>
      <c r="D164" s="281" t="s">
        <v>224</v>
      </c>
      <c r="E164" s="326">
        <v>850</v>
      </c>
      <c r="F164" s="159">
        <f>'ведом. 2025-2027'!AD93</f>
        <v>160</v>
      </c>
      <c r="G164" s="306"/>
      <c r="H164" s="522">
        <f>'ведом. 2025-2027'!AE93</f>
        <v>160</v>
      </c>
      <c r="I164" s="522"/>
      <c r="J164" s="522">
        <f>'ведом. 2025-2027'!AF93</f>
        <v>160</v>
      </c>
      <c r="K164" s="522"/>
      <c r="L164" s="154"/>
      <c r="N164" s="154"/>
      <c r="O164" s="154"/>
    </row>
    <row r="165" spans="1:15" s="177" customFormat="1" ht="31.5" x14ac:dyDescent="0.25">
      <c r="A165" s="258" t="s">
        <v>551</v>
      </c>
      <c r="B165" s="191" t="s">
        <v>29</v>
      </c>
      <c r="C165" s="4">
        <v>13</v>
      </c>
      <c r="D165" s="281" t="s">
        <v>550</v>
      </c>
      <c r="E165" s="326"/>
      <c r="F165" s="159">
        <f>F166+F168+F170</f>
        <v>17438.399999999998</v>
      </c>
      <c r="G165" s="522"/>
      <c r="H165" s="522">
        <f t="shared" ref="H165:J165" si="27">H166+H168+H170</f>
        <v>13813</v>
      </c>
      <c r="I165" s="522"/>
      <c r="J165" s="522">
        <f t="shared" si="27"/>
        <v>13813</v>
      </c>
      <c r="K165" s="522"/>
      <c r="L165" s="154"/>
      <c r="N165" s="154"/>
      <c r="O165" s="154"/>
    </row>
    <row r="166" spans="1:15" s="177" customFormat="1" ht="47.25" x14ac:dyDescent="0.25">
      <c r="A166" s="253" t="s">
        <v>41</v>
      </c>
      <c r="B166" s="191" t="s">
        <v>29</v>
      </c>
      <c r="C166" s="4">
        <v>13</v>
      </c>
      <c r="D166" s="281" t="s">
        <v>550</v>
      </c>
      <c r="E166" s="328" t="s">
        <v>127</v>
      </c>
      <c r="F166" s="159">
        <f>F167</f>
        <v>16527.099999999999</v>
      </c>
      <c r="G166" s="306"/>
      <c r="H166" s="522">
        <f>H167</f>
        <v>12901.7</v>
      </c>
      <c r="I166" s="522"/>
      <c r="J166" s="522">
        <f>J167</f>
        <v>12901.7</v>
      </c>
      <c r="K166" s="522"/>
      <c r="L166" s="154"/>
      <c r="N166" s="154"/>
      <c r="O166" s="154"/>
    </row>
    <row r="167" spans="1:15" s="177" customFormat="1" x14ac:dyDescent="0.25">
      <c r="A167" s="253" t="s">
        <v>68</v>
      </c>
      <c r="B167" s="191" t="s">
        <v>29</v>
      </c>
      <c r="C167" s="4">
        <v>13</v>
      </c>
      <c r="D167" s="281" t="s">
        <v>550</v>
      </c>
      <c r="E167" s="328" t="s">
        <v>128</v>
      </c>
      <c r="F167" s="159">
        <f>'ведом. 2025-2027'!AD96</f>
        <v>16527.099999999999</v>
      </c>
      <c r="G167" s="306"/>
      <c r="H167" s="522">
        <f>'ведом. 2025-2027'!AE96</f>
        <v>12901.7</v>
      </c>
      <c r="I167" s="522"/>
      <c r="J167" s="522">
        <f>'ведом. 2025-2027'!AF96</f>
        <v>12901.7</v>
      </c>
      <c r="K167" s="522"/>
      <c r="L167" s="154"/>
      <c r="N167" s="154"/>
      <c r="O167" s="154"/>
    </row>
    <row r="168" spans="1:15" s="177" customFormat="1" x14ac:dyDescent="0.25">
      <c r="A168" s="253" t="s">
        <v>120</v>
      </c>
      <c r="B168" s="191" t="s">
        <v>29</v>
      </c>
      <c r="C168" s="4">
        <v>13</v>
      </c>
      <c r="D168" s="281" t="s">
        <v>550</v>
      </c>
      <c r="E168" s="328" t="s">
        <v>37</v>
      </c>
      <c r="F168" s="159">
        <f>F169</f>
        <v>911.19999999999993</v>
      </c>
      <c r="G168" s="306"/>
      <c r="H168" s="522">
        <f>H169</f>
        <v>911.3</v>
      </c>
      <c r="I168" s="522"/>
      <c r="J168" s="522">
        <f>J169</f>
        <v>911.3</v>
      </c>
      <c r="K168" s="522"/>
      <c r="L168" s="154"/>
      <c r="N168" s="154"/>
      <c r="O168" s="154"/>
    </row>
    <row r="169" spans="1:15" s="177" customFormat="1" ht="31.5" x14ac:dyDescent="0.25">
      <c r="A169" s="253" t="s">
        <v>52</v>
      </c>
      <c r="B169" s="191" t="s">
        <v>29</v>
      </c>
      <c r="C169" s="4">
        <v>13</v>
      </c>
      <c r="D169" s="281" t="s">
        <v>550</v>
      </c>
      <c r="E169" s="328" t="s">
        <v>65</v>
      </c>
      <c r="F169" s="159">
        <f>'ведом. 2025-2027'!AD98</f>
        <v>911.19999999999993</v>
      </c>
      <c r="G169" s="306"/>
      <c r="H169" s="522">
        <f>'ведом. 2025-2027'!AF98</f>
        <v>911.3</v>
      </c>
      <c r="I169" s="522"/>
      <c r="J169" s="522">
        <f>'ведом. 2025-2027'!AF98</f>
        <v>911.3</v>
      </c>
      <c r="K169" s="522"/>
      <c r="L169" s="154"/>
      <c r="N169" s="154"/>
      <c r="O169" s="154"/>
    </row>
    <row r="170" spans="1:15" s="519" customFormat="1" x14ac:dyDescent="0.25">
      <c r="A170" s="451" t="s">
        <v>42</v>
      </c>
      <c r="B170" s="453" t="s">
        <v>29</v>
      </c>
      <c r="C170" s="453">
        <v>13</v>
      </c>
      <c r="D170" s="544" t="s">
        <v>550</v>
      </c>
      <c r="E170" s="473" t="s">
        <v>347</v>
      </c>
      <c r="F170" s="522">
        <f>F171</f>
        <v>0.1</v>
      </c>
      <c r="G170" s="522"/>
      <c r="H170" s="522">
        <f t="shared" ref="H170:J170" si="28">H171</f>
        <v>0</v>
      </c>
      <c r="I170" s="522"/>
      <c r="J170" s="522">
        <f t="shared" si="28"/>
        <v>0</v>
      </c>
      <c r="K170" s="522"/>
      <c r="L170" s="521"/>
      <c r="N170" s="521"/>
      <c r="O170" s="521"/>
    </row>
    <row r="171" spans="1:15" s="519" customFormat="1" x14ac:dyDescent="0.25">
      <c r="A171" s="451" t="s">
        <v>57</v>
      </c>
      <c r="B171" s="453" t="s">
        <v>29</v>
      </c>
      <c r="C171" s="453">
        <v>13</v>
      </c>
      <c r="D171" s="544" t="s">
        <v>550</v>
      </c>
      <c r="E171" s="473" t="s">
        <v>824</v>
      </c>
      <c r="F171" s="522">
        <f>'ведом. 2025-2027'!AD100</f>
        <v>0.1</v>
      </c>
      <c r="G171" s="524"/>
      <c r="H171" s="522">
        <f>'ведом. 2025-2027'!AE100</f>
        <v>0</v>
      </c>
      <c r="I171" s="522"/>
      <c r="J171" s="522">
        <f>'ведом. 2025-2027'!AF100</f>
        <v>0</v>
      </c>
      <c r="K171" s="522"/>
      <c r="L171" s="521"/>
      <c r="N171" s="521"/>
      <c r="O171" s="521"/>
    </row>
    <row r="172" spans="1:15" s="138" customFormat="1" ht="31.5" x14ac:dyDescent="0.25">
      <c r="A172" s="278" t="s">
        <v>217</v>
      </c>
      <c r="B172" s="11" t="s">
        <v>29</v>
      </c>
      <c r="C172" s="189">
        <v>13</v>
      </c>
      <c r="D172" s="281" t="s">
        <v>218</v>
      </c>
      <c r="E172" s="325"/>
      <c r="F172" s="159">
        <f>F177+F173+F175</f>
        <v>26390.199999999997</v>
      </c>
      <c r="G172" s="522"/>
      <c r="H172" s="522">
        <f t="shared" ref="H172:J172" si="29">H177+H173+H175</f>
        <v>26390.2</v>
      </c>
      <c r="I172" s="522"/>
      <c r="J172" s="522">
        <f t="shared" si="29"/>
        <v>26390.2</v>
      </c>
      <c r="K172" s="522"/>
      <c r="L172" s="154"/>
      <c r="N172" s="154"/>
      <c r="O172" s="154"/>
    </row>
    <row r="173" spans="1:15" s="519" customFormat="1" ht="47.25" x14ac:dyDescent="0.25">
      <c r="A173" s="375" t="s">
        <v>41</v>
      </c>
      <c r="B173" s="453" t="s">
        <v>29</v>
      </c>
      <c r="C173" s="453">
        <v>13</v>
      </c>
      <c r="D173" s="281" t="s">
        <v>218</v>
      </c>
      <c r="E173" s="473" t="s">
        <v>127</v>
      </c>
      <c r="F173" s="522">
        <f>F174</f>
        <v>13228.4</v>
      </c>
      <c r="G173" s="522"/>
      <c r="H173" s="522">
        <f t="shared" ref="H173:J173" si="30">H174</f>
        <v>24918.400000000001</v>
      </c>
      <c r="I173" s="522"/>
      <c r="J173" s="522">
        <f t="shared" si="30"/>
        <v>24918.400000000001</v>
      </c>
      <c r="K173" s="522"/>
      <c r="L173" s="521"/>
      <c r="N173" s="521"/>
      <c r="O173" s="521"/>
    </row>
    <row r="174" spans="1:15" s="519" customFormat="1" x14ac:dyDescent="0.25">
      <c r="A174" s="375" t="s">
        <v>68</v>
      </c>
      <c r="B174" s="453" t="s">
        <v>29</v>
      </c>
      <c r="C174" s="453">
        <v>13</v>
      </c>
      <c r="D174" s="281" t="s">
        <v>218</v>
      </c>
      <c r="E174" s="473" t="s">
        <v>128</v>
      </c>
      <c r="F174" s="522">
        <f>'ведом. 2025-2027'!AD103</f>
        <v>13228.4</v>
      </c>
      <c r="G174" s="524"/>
      <c r="H174" s="522">
        <f>'ведом. 2025-2027'!AE103</f>
        <v>24918.400000000001</v>
      </c>
      <c r="I174" s="522"/>
      <c r="J174" s="522">
        <f>'ведом. 2025-2027'!AF103</f>
        <v>24918.400000000001</v>
      </c>
      <c r="K174" s="522"/>
      <c r="L174" s="521"/>
      <c r="N174" s="521"/>
      <c r="O174" s="521"/>
    </row>
    <row r="175" spans="1:15" s="519" customFormat="1" x14ac:dyDescent="0.25">
      <c r="A175" s="375" t="s">
        <v>120</v>
      </c>
      <c r="B175" s="453" t="s">
        <v>29</v>
      </c>
      <c r="C175" s="453">
        <v>13</v>
      </c>
      <c r="D175" s="281" t="s">
        <v>218</v>
      </c>
      <c r="E175" s="473" t="s">
        <v>37</v>
      </c>
      <c r="F175" s="522">
        <f>F176</f>
        <v>556.1</v>
      </c>
      <c r="G175" s="522"/>
      <c r="H175" s="522">
        <f t="shared" ref="H175:J175" si="31">H176</f>
        <v>1471.8</v>
      </c>
      <c r="I175" s="522"/>
      <c r="J175" s="522">
        <f t="shared" si="31"/>
        <v>1471.8</v>
      </c>
      <c r="K175" s="522"/>
      <c r="L175" s="521"/>
      <c r="N175" s="521"/>
      <c r="O175" s="521"/>
    </row>
    <row r="176" spans="1:15" s="519" customFormat="1" ht="31.5" x14ac:dyDescent="0.25">
      <c r="A176" s="375" t="s">
        <v>52</v>
      </c>
      <c r="B176" s="453" t="s">
        <v>29</v>
      </c>
      <c r="C176" s="453">
        <v>13</v>
      </c>
      <c r="D176" s="281" t="s">
        <v>218</v>
      </c>
      <c r="E176" s="473" t="s">
        <v>65</v>
      </c>
      <c r="F176" s="522">
        <f>'ведом. 2025-2027'!AD105</f>
        <v>556.1</v>
      </c>
      <c r="G176" s="524"/>
      <c r="H176" s="522">
        <f>'ведом. 2025-2027'!AE105</f>
        <v>1471.8</v>
      </c>
      <c r="I176" s="522"/>
      <c r="J176" s="522">
        <f>'ведом. 2025-2027'!AF105</f>
        <v>1471.8</v>
      </c>
      <c r="K176" s="522"/>
      <c r="L176" s="521"/>
      <c r="N176" s="521"/>
      <c r="O176" s="521"/>
    </row>
    <row r="177" spans="1:15" s="138" customFormat="1" ht="31.5" x14ac:dyDescent="0.25">
      <c r="A177" s="375" t="s">
        <v>60</v>
      </c>
      <c r="B177" s="11" t="s">
        <v>29</v>
      </c>
      <c r="C177" s="189">
        <v>13</v>
      </c>
      <c r="D177" s="281" t="s">
        <v>218</v>
      </c>
      <c r="E177" s="329">
        <v>600</v>
      </c>
      <c r="F177" s="159">
        <f>F178</f>
        <v>12605.7</v>
      </c>
      <c r="G177" s="306"/>
      <c r="H177" s="522">
        <f>H178</f>
        <v>0</v>
      </c>
      <c r="I177" s="522"/>
      <c r="J177" s="522">
        <f>J178</f>
        <v>0</v>
      </c>
      <c r="K177" s="522"/>
      <c r="L177" s="154"/>
      <c r="N177" s="154"/>
      <c r="O177" s="154"/>
    </row>
    <row r="178" spans="1:15" s="138" customFormat="1" x14ac:dyDescent="0.25">
      <c r="A178" s="375" t="s">
        <v>61</v>
      </c>
      <c r="B178" s="11" t="s">
        <v>29</v>
      </c>
      <c r="C178" s="189">
        <v>13</v>
      </c>
      <c r="D178" s="281" t="s">
        <v>218</v>
      </c>
      <c r="E178" s="329">
        <v>610</v>
      </c>
      <c r="F178" s="159">
        <f>'ведом. 2025-2027'!AD631</f>
        <v>12605.7</v>
      </c>
      <c r="G178" s="306"/>
      <c r="H178" s="522">
        <f>'ведом. 2025-2027'!AE631</f>
        <v>0</v>
      </c>
      <c r="I178" s="522"/>
      <c r="J178" s="522">
        <f>'ведом. 2025-2027'!AF631</f>
        <v>0</v>
      </c>
      <c r="K178" s="522"/>
      <c r="L178" s="154"/>
      <c r="N178" s="154"/>
      <c r="O178" s="154"/>
    </row>
    <row r="179" spans="1:15" s="138" customFormat="1" ht="31.5" x14ac:dyDescent="0.25">
      <c r="A179" s="278" t="s">
        <v>203</v>
      </c>
      <c r="B179" s="191" t="s">
        <v>29</v>
      </c>
      <c r="C179" s="4">
        <v>13</v>
      </c>
      <c r="D179" s="281" t="s">
        <v>204</v>
      </c>
      <c r="E179" s="326"/>
      <c r="F179" s="159">
        <f>F180+F185</f>
        <v>98923.4</v>
      </c>
      <c r="G179" s="306"/>
      <c r="H179" s="522">
        <f>H180+H185</f>
        <v>36987.200000000004</v>
      </c>
      <c r="I179" s="522"/>
      <c r="J179" s="522">
        <f>J180+J185</f>
        <v>36987.200000000004</v>
      </c>
      <c r="K179" s="522"/>
      <c r="L179" s="154"/>
      <c r="N179" s="154"/>
      <c r="O179" s="154"/>
    </row>
    <row r="180" spans="1:15" s="138" customFormat="1" ht="47.25" x14ac:dyDescent="0.25">
      <c r="A180" s="375" t="s">
        <v>219</v>
      </c>
      <c r="B180" s="191" t="s">
        <v>29</v>
      </c>
      <c r="C180" s="4">
        <v>13</v>
      </c>
      <c r="D180" s="281" t="s">
        <v>220</v>
      </c>
      <c r="E180" s="328"/>
      <c r="F180" s="159">
        <f>F181+F183</f>
        <v>79325.799999999988</v>
      </c>
      <c r="G180" s="159"/>
      <c r="H180" s="522">
        <f>H181+H183</f>
        <v>27679.600000000002</v>
      </c>
      <c r="I180" s="522"/>
      <c r="J180" s="522">
        <f>J181+J183</f>
        <v>27679.600000000002</v>
      </c>
      <c r="K180" s="522"/>
      <c r="L180" s="154"/>
      <c r="N180" s="154"/>
      <c r="O180" s="154"/>
    </row>
    <row r="181" spans="1:15" s="138" customFormat="1" ht="47.25" x14ac:dyDescent="0.25">
      <c r="A181" s="375" t="s">
        <v>41</v>
      </c>
      <c r="B181" s="191" t="s">
        <v>29</v>
      </c>
      <c r="C181" s="4">
        <v>13</v>
      </c>
      <c r="D181" s="281" t="s">
        <v>220</v>
      </c>
      <c r="E181" s="328" t="s">
        <v>127</v>
      </c>
      <c r="F181" s="159">
        <f>F182</f>
        <v>78583.899999999994</v>
      </c>
      <c r="G181" s="306"/>
      <c r="H181" s="522">
        <f>H182</f>
        <v>26937.7</v>
      </c>
      <c r="I181" s="522"/>
      <c r="J181" s="522">
        <f>'ведом. 2025-2027'!AF108</f>
        <v>26937.7</v>
      </c>
      <c r="K181" s="522"/>
      <c r="L181" s="154"/>
      <c r="N181" s="154"/>
      <c r="O181" s="154"/>
    </row>
    <row r="182" spans="1:15" s="138" customFormat="1" x14ac:dyDescent="0.25">
      <c r="A182" s="375" t="s">
        <v>68</v>
      </c>
      <c r="B182" s="191" t="s">
        <v>29</v>
      </c>
      <c r="C182" s="4">
        <v>13</v>
      </c>
      <c r="D182" s="281" t="s">
        <v>220</v>
      </c>
      <c r="E182" s="328" t="s">
        <v>128</v>
      </c>
      <c r="F182" s="159">
        <f>'ведом. 2025-2027'!AD109</f>
        <v>78583.899999999994</v>
      </c>
      <c r="G182" s="306"/>
      <c r="H182" s="522">
        <f>'ведом. 2025-2027'!AE109</f>
        <v>26937.7</v>
      </c>
      <c r="I182" s="522"/>
      <c r="J182" s="522">
        <f>'ведом. 2025-2027'!AF109</f>
        <v>26937.7</v>
      </c>
      <c r="K182" s="522"/>
      <c r="L182" s="154"/>
      <c r="N182" s="154"/>
      <c r="O182" s="154"/>
    </row>
    <row r="183" spans="1:15" s="138" customFormat="1" x14ac:dyDescent="0.25">
      <c r="A183" s="375" t="s">
        <v>120</v>
      </c>
      <c r="B183" s="191" t="s">
        <v>29</v>
      </c>
      <c r="C183" s="4">
        <v>13</v>
      </c>
      <c r="D183" s="281" t="s">
        <v>220</v>
      </c>
      <c r="E183" s="328" t="s">
        <v>37</v>
      </c>
      <c r="F183" s="159">
        <f>F184</f>
        <v>741.9</v>
      </c>
      <c r="G183" s="306"/>
      <c r="H183" s="522">
        <f>H184</f>
        <v>741.9</v>
      </c>
      <c r="I183" s="522"/>
      <c r="J183" s="522">
        <f>'ведом. 2025-2027'!AF110</f>
        <v>741.9</v>
      </c>
      <c r="K183" s="522"/>
      <c r="L183" s="154"/>
      <c r="N183" s="154"/>
      <c r="O183" s="154"/>
    </row>
    <row r="184" spans="1:15" s="138" customFormat="1" ht="31.5" x14ac:dyDescent="0.25">
      <c r="A184" s="375" t="s">
        <v>52</v>
      </c>
      <c r="B184" s="191" t="s">
        <v>29</v>
      </c>
      <c r="C184" s="4">
        <v>13</v>
      </c>
      <c r="D184" s="281" t="s">
        <v>220</v>
      </c>
      <c r="E184" s="328" t="s">
        <v>65</v>
      </c>
      <c r="F184" s="159">
        <f>'ведом. 2025-2027'!AD111</f>
        <v>741.9</v>
      </c>
      <c r="G184" s="306"/>
      <c r="H184" s="522">
        <f>'ведом. 2025-2027'!AE111</f>
        <v>741.9</v>
      </c>
      <c r="I184" s="522"/>
      <c r="J184" s="522">
        <f>'ведом. 2025-2027'!AF111</f>
        <v>741.9</v>
      </c>
      <c r="K184" s="522"/>
      <c r="L184" s="154"/>
      <c r="N184" s="154"/>
      <c r="O184" s="154"/>
    </row>
    <row r="185" spans="1:15" s="177" customFormat="1" ht="47.25" x14ac:dyDescent="0.25">
      <c r="A185" s="375" t="s">
        <v>384</v>
      </c>
      <c r="B185" s="191" t="s">
        <v>29</v>
      </c>
      <c r="C185" s="4">
        <v>13</v>
      </c>
      <c r="D185" s="281" t="s">
        <v>385</v>
      </c>
      <c r="E185" s="328"/>
      <c r="F185" s="159">
        <f>F186+F188+F190</f>
        <v>19597.599999999999</v>
      </c>
      <c r="G185" s="522"/>
      <c r="H185" s="522">
        <f t="shared" ref="H185:J185" si="32">H186+H188+H190</f>
        <v>9307.6</v>
      </c>
      <c r="I185" s="522"/>
      <c r="J185" s="522">
        <f t="shared" si="32"/>
        <v>9307.6</v>
      </c>
      <c r="K185" s="522"/>
      <c r="L185" s="154"/>
      <c r="N185" s="154"/>
      <c r="O185" s="154"/>
    </row>
    <row r="186" spans="1:15" s="177" customFormat="1" ht="47.25" x14ac:dyDescent="0.25">
      <c r="A186" s="375" t="s">
        <v>41</v>
      </c>
      <c r="B186" s="191" t="s">
        <v>29</v>
      </c>
      <c r="C186" s="4">
        <v>13</v>
      </c>
      <c r="D186" s="281" t="s">
        <v>385</v>
      </c>
      <c r="E186" s="328" t="s">
        <v>127</v>
      </c>
      <c r="F186" s="159">
        <f>F187</f>
        <v>18603.599999999999</v>
      </c>
      <c r="G186" s="306"/>
      <c r="H186" s="522">
        <f>H187</f>
        <v>8603.6</v>
      </c>
      <c r="I186" s="522"/>
      <c r="J186" s="522">
        <f>J187</f>
        <v>8603.6</v>
      </c>
      <c r="K186" s="522"/>
      <c r="L186" s="154"/>
      <c r="N186" s="154"/>
      <c r="O186" s="154"/>
    </row>
    <row r="187" spans="1:15" s="177" customFormat="1" x14ac:dyDescent="0.25">
      <c r="A187" s="375" t="s">
        <v>68</v>
      </c>
      <c r="B187" s="191" t="s">
        <v>29</v>
      </c>
      <c r="C187" s="4">
        <v>13</v>
      </c>
      <c r="D187" s="281" t="s">
        <v>385</v>
      </c>
      <c r="E187" s="328" t="s">
        <v>128</v>
      </c>
      <c r="F187" s="159">
        <f>'ведом. 2025-2027'!AD114</f>
        <v>18603.599999999999</v>
      </c>
      <c r="G187" s="306"/>
      <c r="H187" s="522">
        <f>'ведом. 2025-2027'!AE114</f>
        <v>8603.6</v>
      </c>
      <c r="I187" s="522"/>
      <c r="J187" s="522">
        <f>'ведом. 2025-2027'!AF114</f>
        <v>8603.6</v>
      </c>
      <c r="K187" s="522"/>
      <c r="L187" s="154"/>
      <c r="N187" s="154"/>
      <c r="O187" s="154"/>
    </row>
    <row r="188" spans="1:15" s="177" customFormat="1" x14ac:dyDescent="0.25">
      <c r="A188" s="375" t="s">
        <v>120</v>
      </c>
      <c r="B188" s="191" t="s">
        <v>29</v>
      </c>
      <c r="C188" s="4">
        <v>13</v>
      </c>
      <c r="D188" s="281" t="s">
        <v>385</v>
      </c>
      <c r="E188" s="328" t="s">
        <v>37</v>
      </c>
      <c r="F188" s="159">
        <f>F189</f>
        <v>993.3</v>
      </c>
      <c r="G188" s="306"/>
      <c r="H188" s="522">
        <f>H189</f>
        <v>704</v>
      </c>
      <c r="I188" s="522"/>
      <c r="J188" s="522">
        <f>J189</f>
        <v>704</v>
      </c>
      <c r="K188" s="522"/>
      <c r="L188" s="154"/>
      <c r="N188" s="154"/>
      <c r="O188" s="154"/>
    </row>
    <row r="189" spans="1:15" s="177" customFormat="1" ht="31.5" x14ac:dyDescent="0.25">
      <c r="A189" s="375" t="s">
        <v>52</v>
      </c>
      <c r="B189" s="191" t="s">
        <v>29</v>
      </c>
      <c r="C189" s="4">
        <v>13</v>
      </c>
      <c r="D189" s="281" t="s">
        <v>385</v>
      </c>
      <c r="E189" s="328" t="s">
        <v>65</v>
      </c>
      <c r="F189" s="159">
        <f>'ведом. 2025-2027'!AD116</f>
        <v>993.3</v>
      </c>
      <c r="G189" s="306"/>
      <c r="H189" s="522">
        <f>'ведом. 2025-2027'!AE116</f>
        <v>704</v>
      </c>
      <c r="I189" s="522"/>
      <c r="J189" s="522">
        <f>'ведом. 2025-2027'!AF116</f>
        <v>704</v>
      </c>
      <c r="K189" s="522"/>
      <c r="L189" s="154"/>
      <c r="N189" s="154"/>
      <c r="O189" s="154"/>
    </row>
    <row r="190" spans="1:15" s="519" customFormat="1" x14ac:dyDescent="0.25">
      <c r="A190" s="451" t="s">
        <v>42</v>
      </c>
      <c r="B190" s="453" t="s">
        <v>29</v>
      </c>
      <c r="C190" s="453">
        <v>13</v>
      </c>
      <c r="D190" s="544" t="s">
        <v>385</v>
      </c>
      <c r="E190" s="473" t="s">
        <v>347</v>
      </c>
      <c r="F190" s="522">
        <f>F191</f>
        <v>0.7</v>
      </c>
      <c r="G190" s="522"/>
      <c r="H190" s="522">
        <f t="shared" ref="H190:J190" si="33">H191</f>
        <v>0</v>
      </c>
      <c r="I190" s="522"/>
      <c r="J190" s="522">
        <f t="shared" si="33"/>
        <v>0</v>
      </c>
      <c r="K190" s="522"/>
      <c r="L190" s="521"/>
      <c r="N190" s="521"/>
      <c r="O190" s="521"/>
    </row>
    <row r="191" spans="1:15" s="519" customFormat="1" x14ac:dyDescent="0.25">
      <c r="A191" s="451" t="s">
        <v>57</v>
      </c>
      <c r="B191" s="453" t="s">
        <v>29</v>
      </c>
      <c r="C191" s="453">
        <v>13</v>
      </c>
      <c r="D191" s="544" t="s">
        <v>385</v>
      </c>
      <c r="E191" s="473" t="s">
        <v>824</v>
      </c>
      <c r="F191" s="522">
        <f>'ведом. 2025-2027'!AD118</f>
        <v>0.7</v>
      </c>
      <c r="G191" s="524"/>
      <c r="H191" s="522">
        <f>'ведом. 2025-2027'!AE118</f>
        <v>0</v>
      </c>
      <c r="I191" s="522"/>
      <c r="J191" s="522">
        <f>'ведом. 2025-2027'!AF118</f>
        <v>0</v>
      </c>
      <c r="K191" s="522"/>
      <c r="L191" s="521"/>
      <c r="N191" s="521"/>
      <c r="O191" s="521"/>
    </row>
    <row r="192" spans="1:15" s="519" customFormat="1" ht="31.5" x14ac:dyDescent="0.25">
      <c r="A192" s="451" t="s">
        <v>534</v>
      </c>
      <c r="B192" s="453" t="s">
        <v>29</v>
      </c>
      <c r="C192" s="454">
        <v>13</v>
      </c>
      <c r="D192" s="464" t="s">
        <v>535</v>
      </c>
      <c r="E192" s="460"/>
      <c r="F192" s="522">
        <f>F193</f>
        <v>87.2</v>
      </c>
      <c r="G192" s="522"/>
      <c r="H192" s="522">
        <f t="shared" ref="H192:J194" si="34">H193</f>
        <v>82.9</v>
      </c>
      <c r="I192" s="522"/>
      <c r="J192" s="522">
        <f t="shared" si="34"/>
        <v>84.9</v>
      </c>
      <c r="K192" s="522"/>
      <c r="L192" s="521"/>
      <c r="N192" s="521"/>
      <c r="O192" s="521"/>
    </row>
    <row r="193" spans="1:15" s="519" customFormat="1" ht="78.75" x14ac:dyDescent="0.25">
      <c r="A193" s="451" t="s">
        <v>406</v>
      </c>
      <c r="B193" s="453" t="s">
        <v>29</v>
      </c>
      <c r="C193" s="454">
        <v>13</v>
      </c>
      <c r="D193" s="458" t="s">
        <v>536</v>
      </c>
      <c r="E193" s="460"/>
      <c r="F193" s="522">
        <f>F194</f>
        <v>87.2</v>
      </c>
      <c r="G193" s="522"/>
      <c r="H193" s="522">
        <f t="shared" si="34"/>
        <v>82.9</v>
      </c>
      <c r="I193" s="522"/>
      <c r="J193" s="522">
        <f t="shared" si="34"/>
        <v>84.9</v>
      </c>
      <c r="K193" s="522"/>
      <c r="L193" s="521"/>
      <c r="N193" s="521"/>
      <c r="O193" s="521"/>
    </row>
    <row r="194" spans="1:15" s="519" customFormat="1" x14ac:dyDescent="0.25">
      <c r="A194" s="451" t="s">
        <v>120</v>
      </c>
      <c r="B194" s="453" t="s">
        <v>29</v>
      </c>
      <c r="C194" s="454">
        <v>13</v>
      </c>
      <c r="D194" s="458" t="s">
        <v>536</v>
      </c>
      <c r="E194" s="460">
        <v>200</v>
      </c>
      <c r="F194" s="522">
        <f>F195</f>
        <v>87.2</v>
      </c>
      <c r="G194" s="522"/>
      <c r="H194" s="522">
        <f t="shared" si="34"/>
        <v>82.9</v>
      </c>
      <c r="I194" s="522"/>
      <c r="J194" s="522">
        <f t="shared" si="34"/>
        <v>84.9</v>
      </c>
      <c r="K194" s="522"/>
      <c r="L194" s="521"/>
      <c r="N194" s="521"/>
      <c r="O194" s="521"/>
    </row>
    <row r="195" spans="1:15" s="519" customFormat="1" ht="31.5" x14ac:dyDescent="0.25">
      <c r="A195" s="451" t="s">
        <v>52</v>
      </c>
      <c r="B195" s="453" t="s">
        <v>29</v>
      </c>
      <c r="C195" s="454">
        <v>13</v>
      </c>
      <c r="D195" s="458" t="s">
        <v>536</v>
      </c>
      <c r="E195" s="460">
        <v>240</v>
      </c>
      <c r="F195" s="522">
        <f>'ведом. 2025-2027'!AD122</f>
        <v>87.2</v>
      </c>
      <c r="G195" s="524"/>
      <c r="H195" s="522">
        <f>'ведом. 2025-2027'!AE122</f>
        <v>82.9</v>
      </c>
      <c r="I195" s="522"/>
      <c r="J195" s="522">
        <f>'ведом. 2025-2027'!AF122</f>
        <v>84.9</v>
      </c>
      <c r="K195" s="522"/>
      <c r="L195" s="521"/>
      <c r="N195" s="521"/>
      <c r="O195" s="521"/>
    </row>
    <row r="196" spans="1:15" s="138" customFormat="1" ht="31.5" x14ac:dyDescent="0.25">
      <c r="A196" s="255" t="s">
        <v>298</v>
      </c>
      <c r="B196" s="191" t="s">
        <v>29</v>
      </c>
      <c r="C196" s="4">
        <v>13</v>
      </c>
      <c r="D196" s="156" t="s">
        <v>132</v>
      </c>
      <c r="E196" s="326"/>
      <c r="F196" s="159">
        <f t="shared" ref="F196:K196" si="35">F197</f>
        <v>0.6</v>
      </c>
      <c r="G196" s="306">
        <f t="shared" si="35"/>
        <v>0.6</v>
      </c>
      <c r="H196" s="522">
        <f t="shared" si="35"/>
        <v>922</v>
      </c>
      <c r="I196" s="522">
        <f t="shared" si="35"/>
        <v>922</v>
      </c>
      <c r="J196" s="522">
        <f t="shared" si="35"/>
        <v>20.2</v>
      </c>
      <c r="K196" s="522">
        <f t="shared" si="35"/>
        <v>20.2</v>
      </c>
      <c r="L196" s="154"/>
      <c r="N196" s="154"/>
      <c r="O196" s="154"/>
    </row>
    <row r="197" spans="1:15" s="138" customFormat="1" x14ac:dyDescent="0.25">
      <c r="A197" s="255" t="s">
        <v>48</v>
      </c>
      <c r="B197" s="191" t="s">
        <v>29</v>
      </c>
      <c r="C197" s="4">
        <v>13</v>
      </c>
      <c r="D197" s="156" t="s">
        <v>444</v>
      </c>
      <c r="E197" s="326"/>
      <c r="F197" s="159">
        <f t="shared" ref="F197:K197" si="36">F198</f>
        <v>0.6</v>
      </c>
      <c r="G197" s="306">
        <f t="shared" si="36"/>
        <v>0.6</v>
      </c>
      <c r="H197" s="522">
        <f t="shared" si="36"/>
        <v>922</v>
      </c>
      <c r="I197" s="522">
        <f t="shared" si="36"/>
        <v>922</v>
      </c>
      <c r="J197" s="522">
        <f t="shared" si="36"/>
        <v>20.2</v>
      </c>
      <c r="K197" s="522">
        <f t="shared" si="36"/>
        <v>20.2</v>
      </c>
      <c r="L197" s="154"/>
      <c r="N197" s="154"/>
      <c r="O197" s="154"/>
    </row>
    <row r="198" spans="1:15" s="138" customFormat="1" ht="31.5" x14ac:dyDescent="0.25">
      <c r="A198" s="272" t="s">
        <v>311</v>
      </c>
      <c r="B198" s="191" t="s">
        <v>29</v>
      </c>
      <c r="C198" s="4">
        <v>13</v>
      </c>
      <c r="D198" s="156" t="s">
        <v>453</v>
      </c>
      <c r="E198" s="326"/>
      <c r="F198" s="159">
        <f t="shared" ref="F198:K200" si="37">F199</f>
        <v>0.6</v>
      </c>
      <c r="G198" s="306">
        <f t="shared" si="37"/>
        <v>0.6</v>
      </c>
      <c r="H198" s="522">
        <f t="shared" si="37"/>
        <v>922</v>
      </c>
      <c r="I198" s="522">
        <f t="shared" si="37"/>
        <v>922</v>
      </c>
      <c r="J198" s="522">
        <f>'ведом. 2025-2027'!AF125</f>
        <v>20.2</v>
      </c>
      <c r="K198" s="522">
        <f t="shared" si="37"/>
        <v>20.2</v>
      </c>
      <c r="L198" s="154"/>
      <c r="N198" s="154"/>
      <c r="O198" s="154"/>
    </row>
    <row r="199" spans="1:15" s="138" customFormat="1" ht="31.5" x14ac:dyDescent="0.25">
      <c r="A199" s="271" t="s">
        <v>455</v>
      </c>
      <c r="B199" s="191" t="s">
        <v>29</v>
      </c>
      <c r="C199" s="4">
        <v>13</v>
      </c>
      <c r="D199" s="156" t="s">
        <v>454</v>
      </c>
      <c r="E199" s="326"/>
      <c r="F199" s="159">
        <f t="shared" si="37"/>
        <v>0.6</v>
      </c>
      <c r="G199" s="306">
        <f t="shared" si="37"/>
        <v>0.6</v>
      </c>
      <c r="H199" s="522">
        <f t="shared" si="37"/>
        <v>922</v>
      </c>
      <c r="I199" s="522">
        <f t="shared" si="37"/>
        <v>922</v>
      </c>
      <c r="J199" s="522">
        <f>'ведом. 2025-2027'!AF126</f>
        <v>20.2</v>
      </c>
      <c r="K199" s="522">
        <f t="shared" si="37"/>
        <v>20.2</v>
      </c>
      <c r="L199" s="154"/>
      <c r="N199" s="154"/>
      <c r="O199" s="154"/>
    </row>
    <row r="200" spans="1:15" s="138" customFormat="1" x14ac:dyDescent="0.25">
      <c r="A200" s="375" t="s">
        <v>120</v>
      </c>
      <c r="B200" s="191" t="s">
        <v>29</v>
      </c>
      <c r="C200" s="4">
        <v>13</v>
      </c>
      <c r="D200" s="156" t="s">
        <v>454</v>
      </c>
      <c r="E200" s="326">
        <v>200</v>
      </c>
      <c r="F200" s="159">
        <f t="shared" si="37"/>
        <v>0.6</v>
      </c>
      <c r="G200" s="306">
        <f t="shared" si="37"/>
        <v>0.6</v>
      </c>
      <c r="H200" s="522">
        <f t="shared" si="37"/>
        <v>922</v>
      </c>
      <c r="I200" s="522">
        <f t="shared" si="37"/>
        <v>922</v>
      </c>
      <c r="J200" s="522">
        <f>'ведом. 2025-2027'!AF127</f>
        <v>20.2</v>
      </c>
      <c r="K200" s="522">
        <f t="shared" si="37"/>
        <v>20.2</v>
      </c>
      <c r="L200" s="154"/>
      <c r="N200" s="154"/>
      <c r="O200" s="154"/>
    </row>
    <row r="201" spans="1:15" s="138" customFormat="1" ht="31.5" x14ac:dyDescent="0.25">
      <c r="A201" s="375" t="s">
        <v>52</v>
      </c>
      <c r="B201" s="191" t="s">
        <v>29</v>
      </c>
      <c r="C201" s="4">
        <v>13</v>
      </c>
      <c r="D201" s="156" t="s">
        <v>454</v>
      </c>
      <c r="E201" s="326">
        <v>240</v>
      </c>
      <c r="F201" s="159">
        <f>'ведом. 2025-2027'!AD128</f>
        <v>0.6</v>
      </c>
      <c r="G201" s="306">
        <f>F201</f>
        <v>0.6</v>
      </c>
      <c r="H201" s="522">
        <f>'ведом. 2025-2027'!AE128</f>
        <v>922</v>
      </c>
      <c r="I201" s="522">
        <f>H201</f>
        <v>922</v>
      </c>
      <c r="J201" s="522">
        <f>'ведом. 2025-2027'!AF128</f>
        <v>20.2</v>
      </c>
      <c r="K201" s="522">
        <f>J201</f>
        <v>20.2</v>
      </c>
      <c r="L201" s="154"/>
      <c r="N201" s="154"/>
      <c r="O201" s="154"/>
    </row>
    <row r="202" spans="1:15" s="138" customFormat="1" x14ac:dyDescent="0.25">
      <c r="A202" s="255" t="s">
        <v>233</v>
      </c>
      <c r="B202" s="191" t="s">
        <v>29</v>
      </c>
      <c r="C202" s="4">
        <v>13</v>
      </c>
      <c r="D202" s="156" t="s">
        <v>234</v>
      </c>
      <c r="E202" s="326"/>
      <c r="F202" s="159">
        <f>F203</f>
        <v>57349</v>
      </c>
      <c r="G202" s="522"/>
      <c r="H202" s="522">
        <f t="shared" ref="H202:J202" si="38">H203</f>
        <v>52633</v>
      </c>
      <c r="I202" s="522"/>
      <c r="J202" s="522">
        <f t="shared" si="38"/>
        <v>53039</v>
      </c>
      <c r="K202" s="522"/>
      <c r="L202" s="154"/>
      <c r="N202" s="154"/>
      <c r="O202" s="154"/>
    </row>
    <row r="203" spans="1:15" s="177" customFormat="1" x14ac:dyDescent="0.25">
      <c r="A203" s="312" t="s">
        <v>48</v>
      </c>
      <c r="B203" s="191" t="s">
        <v>29</v>
      </c>
      <c r="C203" s="4">
        <v>13</v>
      </c>
      <c r="D203" s="156" t="s">
        <v>537</v>
      </c>
      <c r="E203" s="326"/>
      <c r="F203" s="159">
        <f>F204</f>
        <v>57349</v>
      </c>
      <c r="G203" s="306"/>
      <c r="H203" s="522">
        <f>H204</f>
        <v>52633</v>
      </c>
      <c r="I203" s="522"/>
      <c r="J203" s="522">
        <f>J204</f>
        <v>53039</v>
      </c>
      <c r="K203" s="522"/>
      <c r="L203" s="154"/>
      <c r="N203" s="154"/>
      <c r="O203" s="154"/>
    </row>
    <row r="204" spans="1:15" s="177" customFormat="1" ht="31.5" x14ac:dyDescent="0.25">
      <c r="A204" s="312" t="s">
        <v>327</v>
      </c>
      <c r="B204" s="191" t="s">
        <v>29</v>
      </c>
      <c r="C204" s="4">
        <v>13</v>
      </c>
      <c r="D204" s="156" t="s">
        <v>538</v>
      </c>
      <c r="E204" s="326"/>
      <c r="F204" s="159">
        <f>F205</f>
        <v>57349</v>
      </c>
      <c r="G204" s="306"/>
      <c r="H204" s="522">
        <f>H205</f>
        <v>52633</v>
      </c>
      <c r="I204" s="522"/>
      <c r="J204" s="522">
        <f>J205</f>
        <v>53039</v>
      </c>
      <c r="K204" s="522"/>
      <c r="L204" s="154"/>
      <c r="N204" s="154"/>
      <c r="O204" s="154"/>
    </row>
    <row r="205" spans="1:15" s="177" customFormat="1" ht="31.5" x14ac:dyDescent="0.25">
      <c r="A205" s="312" t="s">
        <v>235</v>
      </c>
      <c r="B205" s="191" t="s">
        <v>29</v>
      </c>
      <c r="C205" s="4">
        <v>13</v>
      </c>
      <c r="D205" s="156" t="s">
        <v>539</v>
      </c>
      <c r="E205" s="326"/>
      <c r="F205" s="159">
        <f>F206</f>
        <v>57349</v>
      </c>
      <c r="G205" s="306"/>
      <c r="H205" s="522">
        <f>H206</f>
        <v>52633</v>
      </c>
      <c r="I205" s="522"/>
      <c r="J205" s="522">
        <f>J206</f>
        <v>53039</v>
      </c>
      <c r="K205" s="522"/>
      <c r="L205" s="154"/>
      <c r="N205" s="154"/>
      <c r="O205" s="154"/>
    </row>
    <row r="206" spans="1:15" s="177" customFormat="1" ht="31.5" x14ac:dyDescent="0.25">
      <c r="A206" s="253" t="s">
        <v>60</v>
      </c>
      <c r="B206" s="191" t="s">
        <v>29</v>
      </c>
      <c r="C206" s="4">
        <v>13</v>
      </c>
      <c r="D206" s="156" t="s">
        <v>539</v>
      </c>
      <c r="E206" s="326">
        <v>600</v>
      </c>
      <c r="F206" s="159">
        <f>F207</f>
        <v>57349</v>
      </c>
      <c r="G206" s="306"/>
      <c r="H206" s="522">
        <f>H207</f>
        <v>52633</v>
      </c>
      <c r="I206" s="522"/>
      <c r="J206" s="522">
        <f>J207</f>
        <v>53039</v>
      </c>
      <c r="K206" s="522"/>
      <c r="L206" s="154"/>
      <c r="N206" s="154"/>
      <c r="O206" s="154"/>
    </row>
    <row r="207" spans="1:15" s="177" customFormat="1" x14ac:dyDescent="0.25">
      <c r="A207" s="253" t="s">
        <v>61</v>
      </c>
      <c r="B207" s="191" t="s">
        <v>29</v>
      </c>
      <c r="C207" s="4">
        <v>13</v>
      </c>
      <c r="D207" s="156" t="s">
        <v>539</v>
      </c>
      <c r="E207" s="326">
        <v>610</v>
      </c>
      <c r="F207" s="159">
        <f>'ведом. 2025-2027'!AD134</f>
        <v>57349</v>
      </c>
      <c r="G207" s="306"/>
      <c r="H207" s="522">
        <f>'ведом. 2025-2027'!AE134</f>
        <v>52633</v>
      </c>
      <c r="I207" s="522"/>
      <c r="J207" s="522">
        <f>'ведом. 2025-2027'!AF134</f>
        <v>53039</v>
      </c>
      <c r="K207" s="522"/>
      <c r="L207" s="154"/>
      <c r="N207" s="154"/>
      <c r="O207" s="154"/>
    </row>
    <row r="208" spans="1:15" s="138" customFormat="1" x14ac:dyDescent="0.25">
      <c r="A208" s="255" t="s">
        <v>225</v>
      </c>
      <c r="B208" s="191" t="s">
        <v>29</v>
      </c>
      <c r="C208" s="4">
        <v>13</v>
      </c>
      <c r="D208" s="156" t="s">
        <v>137</v>
      </c>
      <c r="E208" s="328"/>
      <c r="F208" s="159">
        <f>F212+F209</f>
        <v>12981</v>
      </c>
      <c r="G208" s="522"/>
      <c r="H208" s="522">
        <f t="shared" ref="H208:J208" si="39">H212+H209</f>
        <v>1505.8999999999996</v>
      </c>
      <c r="I208" s="522"/>
      <c r="J208" s="522">
        <f t="shared" si="39"/>
        <v>2562.7000000000003</v>
      </c>
      <c r="K208" s="522"/>
      <c r="L208" s="154"/>
      <c r="N208" s="154"/>
      <c r="O208" s="154"/>
    </row>
    <row r="209" spans="1:15" s="519" customFormat="1" x14ac:dyDescent="0.25">
      <c r="A209" s="451" t="s">
        <v>796</v>
      </c>
      <c r="B209" s="453" t="s">
        <v>29</v>
      </c>
      <c r="C209" s="453">
        <v>13</v>
      </c>
      <c r="D209" s="542" t="s">
        <v>797</v>
      </c>
      <c r="E209" s="454"/>
      <c r="F209" s="522">
        <f>F210</f>
        <v>31.3</v>
      </c>
      <c r="G209" s="522"/>
      <c r="H209" s="522">
        <f t="shared" ref="H209:J209" si="40">H210</f>
        <v>0</v>
      </c>
      <c r="I209" s="522"/>
      <c r="J209" s="522">
        <f t="shared" si="40"/>
        <v>0</v>
      </c>
      <c r="K209" s="522"/>
      <c r="L209" s="521"/>
      <c r="N209" s="521"/>
      <c r="O209" s="521"/>
    </row>
    <row r="210" spans="1:15" s="519" customFormat="1" x14ac:dyDescent="0.25">
      <c r="A210" s="451" t="s">
        <v>42</v>
      </c>
      <c r="B210" s="453" t="s">
        <v>29</v>
      </c>
      <c r="C210" s="453">
        <v>13</v>
      </c>
      <c r="D210" s="542" t="s">
        <v>797</v>
      </c>
      <c r="E210" s="454">
        <v>800</v>
      </c>
      <c r="F210" s="522">
        <f>F211</f>
        <v>31.3</v>
      </c>
      <c r="G210" s="522"/>
      <c r="H210" s="522">
        <f t="shared" ref="H210:J210" si="41">H211</f>
        <v>0</v>
      </c>
      <c r="I210" s="522"/>
      <c r="J210" s="522">
        <f t="shared" si="41"/>
        <v>0</v>
      </c>
      <c r="K210" s="522"/>
      <c r="L210" s="521"/>
      <c r="N210" s="521"/>
      <c r="O210" s="521"/>
    </row>
    <row r="211" spans="1:15" s="519" customFormat="1" x14ac:dyDescent="0.25">
      <c r="A211" s="451" t="s">
        <v>798</v>
      </c>
      <c r="B211" s="453" t="s">
        <v>29</v>
      </c>
      <c r="C211" s="453">
        <v>13</v>
      </c>
      <c r="D211" s="542" t="s">
        <v>797</v>
      </c>
      <c r="E211" s="454">
        <v>830</v>
      </c>
      <c r="F211" s="522">
        <f>'ведом. 2025-2027'!AD599</f>
        <v>31.3</v>
      </c>
      <c r="G211" s="522"/>
      <c r="H211" s="522">
        <f>'ведом. 2025-2027'!AE599</f>
        <v>0</v>
      </c>
      <c r="I211" s="522"/>
      <c r="J211" s="522">
        <f>'ведом. 2025-2027'!AF599</f>
        <v>0</v>
      </c>
      <c r="K211" s="522"/>
      <c r="L211" s="521"/>
      <c r="N211" s="521"/>
      <c r="O211" s="521"/>
    </row>
    <row r="212" spans="1:15" s="177" customFormat="1" x14ac:dyDescent="0.25">
      <c r="A212" s="383" t="s">
        <v>427</v>
      </c>
      <c r="B212" s="192" t="s">
        <v>29</v>
      </c>
      <c r="C212" s="186">
        <v>13</v>
      </c>
      <c r="D212" s="262" t="s">
        <v>428</v>
      </c>
      <c r="E212" s="327"/>
      <c r="F212" s="159">
        <f>F216+F213</f>
        <v>12949.7</v>
      </c>
      <c r="G212" s="522"/>
      <c r="H212" s="522">
        <f t="shared" ref="H212:J212" si="42">H216+H213</f>
        <v>1505.8999999999996</v>
      </c>
      <c r="I212" s="522"/>
      <c r="J212" s="522">
        <f t="shared" si="42"/>
        <v>2562.7000000000003</v>
      </c>
      <c r="K212" s="522"/>
      <c r="L212" s="154"/>
      <c r="N212" s="154"/>
      <c r="O212" s="154"/>
    </row>
    <row r="213" spans="1:15" s="519" customFormat="1" x14ac:dyDescent="0.25">
      <c r="A213" s="451" t="s">
        <v>799</v>
      </c>
      <c r="B213" s="469" t="s">
        <v>29</v>
      </c>
      <c r="C213" s="470">
        <v>13</v>
      </c>
      <c r="D213" s="700" t="s">
        <v>800</v>
      </c>
      <c r="E213" s="701"/>
      <c r="F213" s="522">
        <f>F214</f>
        <v>150</v>
      </c>
      <c r="G213" s="522"/>
      <c r="H213" s="522">
        <f t="shared" ref="H213:J214" si="43">H214</f>
        <v>0</v>
      </c>
      <c r="I213" s="522"/>
      <c r="J213" s="522">
        <f t="shared" si="43"/>
        <v>0</v>
      </c>
      <c r="K213" s="522"/>
      <c r="L213" s="521"/>
      <c r="N213" s="521"/>
      <c r="O213" s="521"/>
    </row>
    <row r="214" spans="1:15" s="519" customFormat="1" x14ac:dyDescent="0.25">
      <c r="A214" s="451" t="s">
        <v>42</v>
      </c>
      <c r="B214" s="469" t="s">
        <v>29</v>
      </c>
      <c r="C214" s="470">
        <v>13</v>
      </c>
      <c r="D214" s="700" t="s">
        <v>800</v>
      </c>
      <c r="E214" s="701">
        <v>800</v>
      </c>
      <c r="F214" s="522">
        <f>F215</f>
        <v>150</v>
      </c>
      <c r="G214" s="522"/>
      <c r="H214" s="522">
        <f t="shared" si="43"/>
        <v>0</v>
      </c>
      <c r="I214" s="522"/>
      <c r="J214" s="522">
        <f t="shared" si="43"/>
        <v>0</v>
      </c>
      <c r="K214" s="522"/>
      <c r="L214" s="521"/>
      <c r="N214" s="521"/>
      <c r="O214" s="521"/>
    </row>
    <row r="215" spans="1:15" s="519" customFormat="1" x14ac:dyDescent="0.25">
      <c r="A215" s="451" t="s">
        <v>57</v>
      </c>
      <c r="B215" s="469" t="s">
        <v>29</v>
      </c>
      <c r="C215" s="470">
        <v>13</v>
      </c>
      <c r="D215" s="700" t="s">
        <v>800</v>
      </c>
      <c r="E215" s="701">
        <v>850</v>
      </c>
      <c r="F215" s="522">
        <f>'ведом. 2025-2027'!AD139</f>
        <v>150</v>
      </c>
      <c r="G215" s="524"/>
      <c r="H215" s="522">
        <f>'ведом. 2025-2027'!AE139</f>
        <v>0</v>
      </c>
      <c r="I215" s="522"/>
      <c r="J215" s="522">
        <f>'ведом. 2025-2027'!AF139</f>
        <v>0</v>
      </c>
      <c r="K215" s="522"/>
      <c r="L215" s="521"/>
      <c r="N215" s="521"/>
      <c r="O215" s="521"/>
    </row>
    <row r="216" spans="1:15" s="199" customFormat="1" ht="31.5" x14ac:dyDescent="0.25">
      <c r="A216" s="253" t="s">
        <v>430</v>
      </c>
      <c r="B216" s="192" t="s">
        <v>29</v>
      </c>
      <c r="C216" s="186">
        <v>13</v>
      </c>
      <c r="D216" s="282" t="s">
        <v>431</v>
      </c>
      <c r="E216" s="327"/>
      <c r="F216" s="159">
        <f>F217</f>
        <v>12799.7</v>
      </c>
      <c r="G216" s="306"/>
      <c r="H216" s="522">
        <f>H217</f>
        <v>1505.8999999999996</v>
      </c>
      <c r="I216" s="522"/>
      <c r="J216" s="522">
        <f>J217</f>
        <v>2562.7000000000003</v>
      </c>
      <c r="K216" s="522"/>
      <c r="L216" s="198"/>
      <c r="N216" s="198"/>
      <c r="O216" s="198"/>
    </row>
    <row r="217" spans="1:15" s="199" customFormat="1" x14ac:dyDescent="0.25">
      <c r="A217" s="253" t="s">
        <v>42</v>
      </c>
      <c r="B217" s="192" t="s">
        <v>29</v>
      </c>
      <c r="C217" s="186">
        <v>13</v>
      </c>
      <c r="D217" s="282" t="s">
        <v>431</v>
      </c>
      <c r="E217" s="327">
        <v>800</v>
      </c>
      <c r="F217" s="159">
        <f>F218</f>
        <v>12799.7</v>
      </c>
      <c r="G217" s="306"/>
      <c r="H217" s="522">
        <f>H218</f>
        <v>1505.8999999999996</v>
      </c>
      <c r="I217" s="522"/>
      <c r="J217" s="522">
        <f>J218</f>
        <v>2562.7000000000003</v>
      </c>
      <c r="K217" s="522"/>
      <c r="L217" s="198"/>
      <c r="N217" s="198"/>
      <c r="O217" s="198"/>
    </row>
    <row r="218" spans="1:15" s="199" customFormat="1" x14ac:dyDescent="0.25">
      <c r="A218" s="253" t="s">
        <v>136</v>
      </c>
      <c r="B218" s="192" t="s">
        <v>29</v>
      </c>
      <c r="C218" s="186">
        <v>13</v>
      </c>
      <c r="D218" s="282" t="s">
        <v>431</v>
      </c>
      <c r="E218" s="327">
        <v>870</v>
      </c>
      <c r="F218" s="159">
        <f>'ведом. 2025-2027'!AD559</f>
        <v>12799.7</v>
      </c>
      <c r="G218" s="306"/>
      <c r="H218" s="522">
        <f>'ведом. 2025-2027'!AE559</f>
        <v>1505.8999999999996</v>
      </c>
      <c r="I218" s="522"/>
      <c r="J218" s="522">
        <f>'ведом. 2025-2027'!AF559</f>
        <v>2562.7000000000003</v>
      </c>
      <c r="K218" s="522"/>
      <c r="L218" s="198"/>
      <c r="N218" s="198"/>
      <c r="O218" s="198"/>
    </row>
    <row r="219" spans="1:15" s="138" customFormat="1" x14ac:dyDescent="0.25">
      <c r="A219" s="384" t="s">
        <v>11</v>
      </c>
      <c r="B219" s="193" t="s">
        <v>30</v>
      </c>
      <c r="C219" s="188"/>
      <c r="D219" s="280"/>
      <c r="E219" s="330"/>
      <c r="F219" s="161">
        <f t="shared" ref="F219:K219" si="44">F220+F227</f>
        <v>5293.4</v>
      </c>
      <c r="G219" s="347">
        <f t="shared" si="44"/>
        <v>4643.3999999999996</v>
      </c>
      <c r="H219" s="161">
        <f t="shared" si="44"/>
        <v>5095.3</v>
      </c>
      <c r="I219" s="161">
        <f t="shared" si="44"/>
        <v>5021.3</v>
      </c>
      <c r="J219" s="161">
        <f t="shared" si="44"/>
        <v>5267.1</v>
      </c>
      <c r="K219" s="161">
        <f t="shared" si="44"/>
        <v>5193.1000000000004</v>
      </c>
      <c r="L219" s="154"/>
      <c r="N219" s="154"/>
      <c r="O219" s="154"/>
    </row>
    <row r="220" spans="1:15" s="138" customFormat="1" x14ac:dyDescent="0.25">
      <c r="A220" s="375" t="s">
        <v>12</v>
      </c>
      <c r="B220" s="191" t="s">
        <v>30</v>
      </c>
      <c r="C220" s="4" t="s">
        <v>7</v>
      </c>
      <c r="D220" s="26"/>
      <c r="E220" s="325"/>
      <c r="F220" s="159">
        <f t="shared" ref="F220:K225" si="45">F221</f>
        <v>4643.3999999999996</v>
      </c>
      <c r="G220" s="306">
        <f t="shared" si="45"/>
        <v>4643.3999999999996</v>
      </c>
      <c r="H220" s="522">
        <f t="shared" si="45"/>
        <v>5021.3</v>
      </c>
      <c r="I220" s="522">
        <f t="shared" si="45"/>
        <v>5021.3</v>
      </c>
      <c r="J220" s="522">
        <f t="shared" si="45"/>
        <v>5193.1000000000004</v>
      </c>
      <c r="K220" s="522">
        <f t="shared" si="45"/>
        <v>5193.1000000000004</v>
      </c>
      <c r="L220" s="154"/>
      <c r="N220" s="154"/>
      <c r="O220" s="154"/>
    </row>
    <row r="221" spans="1:15" s="138" customFormat="1" ht="31.5" x14ac:dyDescent="0.25">
      <c r="A221" s="255" t="s">
        <v>298</v>
      </c>
      <c r="B221" s="191" t="s">
        <v>30</v>
      </c>
      <c r="C221" s="4" t="s">
        <v>7</v>
      </c>
      <c r="D221" s="156" t="s">
        <v>132</v>
      </c>
      <c r="E221" s="325"/>
      <c r="F221" s="159">
        <f t="shared" si="45"/>
        <v>4643.3999999999996</v>
      </c>
      <c r="G221" s="306">
        <f t="shared" si="45"/>
        <v>4643.3999999999996</v>
      </c>
      <c r="H221" s="522">
        <f t="shared" si="45"/>
        <v>5021.3</v>
      </c>
      <c r="I221" s="522">
        <f t="shared" si="45"/>
        <v>5021.3</v>
      </c>
      <c r="J221" s="522">
        <f t="shared" si="45"/>
        <v>5193.1000000000004</v>
      </c>
      <c r="K221" s="522">
        <f t="shared" si="45"/>
        <v>5193.1000000000004</v>
      </c>
      <c r="L221" s="154"/>
      <c r="N221" s="154"/>
      <c r="O221" s="154"/>
    </row>
    <row r="222" spans="1:15" s="138" customFormat="1" x14ac:dyDescent="0.25">
      <c r="A222" s="255" t="s">
        <v>48</v>
      </c>
      <c r="B222" s="191" t="s">
        <v>30</v>
      </c>
      <c r="C222" s="4" t="s">
        <v>7</v>
      </c>
      <c r="D222" s="156" t="s">
        <v>444</v>
      </c>
      <c r="E222" s="325"/>
      <c r="F222" s="159">
        <f t="shared" ref="F222:K224" si="46">F223</f>
        <v>4643.3999999999996</v>
      </c>
      <c r="G222" s="306">
        <f t="shared" si="46"/>
        <v>4643.3999999999996</v>
      </c>
      <c r="H222" s="522">
        <f t="shared" si="46"/>
        <v>5021.3</v>
      </c>
      <c r="I222" s="522">
        <f t="shared" si="46"/>
        <v>5021.3</v>
      </c>
      <c r="J222" s="522">
        <f t="shared" si="46"/>
        <v>5193.1000000000004</v>
      </c>
      <c r="K222" s="522">
        <f t="shared" si="46"/>
        <v>5193.1000000000004</v>
      </c>
      <c r="L222" s="154"/>
      <c r="N222" s="154"/>
      <c r="O222" s="154"/>
    </row>
    <row r="223" spans="1:15" s="138" customFormat="1" x14ac:dyDescent="0.25">
      <c r="A223" s="278" t="s">
        <v>457</v>
      </c>
      <c r="B223" s="191" t="s">
        <v>30</v>
      </c>
      <c r="C223" s="4" t="s">
        <v>7</v>
      </c>
      <c r="D223" s="156" t="s">
        <v>445</v>
      </c>
      <c r="E223" s="325"/>
      <c r="F223" s="159">
        <f t="shared" si="46"/>
        <v>4643.3999999999996</v>
      </c>
      <c r="G223" s="306">
        <f t="shared" si="46"/>
        <v>4643.3999999999996</v>
      </c>
      <c r="H223" s="522">
        <f t="shared" si="46"/>
        <v>5021.3</v>
      </c>
      <c r="I223" s="522">
        <f t="shared" si="46"/>
        <v>5021.3</v>
      </c>
      <c r="J223" s="522">
        <f t="shared" si="46"/>
        <v>5193.1000000000004</v>
      </c>
      <c r="K223" s="522">
        <f t="shared" si="46"/>
        <v>5193.1000000000004</v>
      </c>
      <c r="L223" s="154"/>
      <c r="N223" s="154"/>
      <c r="O223" s="154"/>
    </row>
    <row r="224" spans="1:15" s="138" customFormat="1" ht="31.5" x14ac:dyDescent="0.25">
      <c r="A224" s="255" t="s">
        <v>456</v>
      </c>
      <c r="B224" s="191" t="s">
        <v>30</v>
      </c>
      <c r="C224" s="4" t="s">
        <v>7</v>
      </c>
      <c r="D224" s="156" t="s">
        <v>452</v>
      </c>
      <c r="E224" s="331"/>
      <c r="F224" s="159">
        <f>F225</f>
        <v>4643.3999999999996</v>
      </c>
      <c r="G224" s="159">
        <f t="shared" si="46"/>
        <v>4643.3999999999996</v>
      </c>
      <c r="H224" s="522">
        <f t="shared" si="46"/>
        <v>5021.3</v>
      </c>
      <c r="I224" s="522">
        <f t="shared" si="46"/>
        <v>5021.3</v>
      </c>
      <c r="J224" s="522">
        <f t="shared" si="46"/>
        <v>5193.1000000000004</v>
      </c>
      <c r="K224" s="522">
        <f t="shared" si="46"/>
        <v>5193.1000000000004</v>
      </c>
      <c r="L224" s="154"/>
      <c r="N224" s="154"/>
      <c r="O224" s="154"/>
    </row>
    <row r="225" spans="1:15" s="138" customFormat="1" ht="47.25" x14ac:dyDescent="0.25">
      <c r="A225" s="375" t="s">
        <v>41</v>
      </c>
      <c r="B225" s="191" t="s">
        <v>30</v>
      </c>
      <c r="C225" s="4" t="s">
        <v>7</v>
      </c>
      <c r="D225" s="156" t="s">
        <v>452</v>
      </c>
      <c r="E225" s="326">
        <v>100</v>
      </c>
      <c r="F225" s="159">
        <f t="shared" si="45"/>
        <v>4643.3999999999996</v>
      </c>
      <c r="G225" s="306">
        <f t="shared" si="45"/>
        <v>4643.3999999999996</v>
      </c>
      <c r="H225" s="522">
        <f t="shared" si="45"/>
        <v>5021.3</v>
      </c>
      <c r="I225" s="522">
        <f t="shared" si="45"/>
        <v>5021.3</v>
      </c>
      <c r="J225" s="522">
        <f t="shared" si="45"/>
        <v>5193.1000000000004</v>
      </c>
      <c r="K225" s="522">
        <f t="shared" si="45"/>
        <v>5193.1000000000004</v>
      </c>
      <c r="L225" s="154"/>
      <c r="N225" s="154"/>
      <c r="O225" s="154"/>
    </row>
    <row r="226" spans="1:15" s="138" customFormat="1" x14ac:dyDescent="0.25">
      <c r="A226" s="375" t="s">
        <v>96</v>
      </c>
      <c r="B226" s="191" t="s">
        <v>30</v>
      </c>
      <c r="C226" s="4" t="s">
        <v>7</v>
      </c>
      <c r="D226" s="156" t="s">
        <v>452</v>
      </c>
      <c r="E226" s="326">
        <v>120</v>
      </c>
      <c r="F226" s="159">
        <f>'ведом. 2025-2027'!AD147</f>
        <v>4643.3999999999996</v>
      </c>
      <c r="G226" s="306">
        <f>F226</f>
        <v>4643.3999999999996</v>
      </c>
      <c r="H226" s="522">
        <f>'ведом. 2025-2027'!AE147</f>
        <v>5021.3</v>
      </c>
      <c r="I226" s="522">
        <f>H226</f>
        <v>5021.3</v>
      </c>
      <c r="J226" s="522">
        <f>'ведом. 2025-2027'!AF147</f>
        <v>5193.1000000000004</v>
      </c>
      <c r="K226" s="522">
        <f>J226</f>
        <v>5193.1000000000004</v>
      </c>
      <c r="L226" s="154"/>
      <c r="N226" s="154"/>
      <c r="O226" s="154"/>
    </row>
    <row r="227" spans="1:15" s="138" customFormat="1" x14ac:dyDescent="0.25">
      <c r="A227" s="375" t="s">
        <v>47</v>
      </c>
      <c r="B227" s="191" t="s">
        <v>30</v>
      </c>
      <c r="C227" s="4" t="s">
        <v>49</v>
      </c>
      <c r="D227" s="26"/>
      <c r="E227" s="326"/>
      <c r="F227" s="159">
        <f t="shared" ref="F227:J232" si="47">F228</f>
        <v>650</v>
      </c>
      <c r="G227" s="306"/>
      <c r="H227" s="522">
        <f t="shared" si="47"/>
        <v>74</v>
      </c>
      <c r="I227" s="522"/>
      <c r="J227" s="522">
        <f t="shared" si="47"/>
        <v>74</v>
      </c>
      <c r="K227" s="522"/>
      <c r="L227" s="154"/>
      <c r="N227" s="154"/>
      <c r="O227" s="154"/>
    </row>
    <row r="228" spans="1:15" s="138" customFormat="1" x14ac:dyDescent="0.25">
      <c r="A228" s="255" t="s">
        <v>186</v>
      </c>
      <c r="B228" s="191" t="s">
        <v>30</v>
      </c>
      <c r="C228" s="4" t="s">
        <v>49</v>
      </c>
      <c r="D228" s="156" t="s">
        <v>112</v>
      </c>
      <c r="E228" s="326"/>
      <c r="F228" s="159">
        <f t="shared" si="47"/>
        <v>650</v>
      </c>
      <c r="G228" s="306"/>
      <c r="H228" s="522">
        <f t="shared" si="47"/>
        <v>74</v>
      </c>
      <c r="I228" s="522"/>
      <c r="J228" s="522">
        <f t="shared" si="47"/>
        <v>74</v>
      </c>
      <c r="K228" s="522"/>
      <c r="L228" s="154"/>
      <c r="N228" s="154"/>
      <c r="O228" s="154"/>
    </row>
    <row r="229" spans="1:15" s="138" customFormat="1" x14ac:dyDescent="0.25">
      <c r="A229" s="255" t="s">
        <v>189</v>
      </c>
      <c r="B229" s="191" t="s">
        <v>30</v>
      </c>
      <c r="C229" s="4" t="s">
        <v>49</v>
      </c>
      <c r="D229" s="156" t="s">
        <v>190</v>
      </c>
      <c r="E229" s="326"/>
      <c r="F229" s="159">
        <f t="shared" si="47"/>
        <v>650</v>
      </c>
      <c r="G229" s="306"/>
      <c r="H229" s="522">
        <f t="shared" si="47"/>
        <v>74</v>
      </c>
      <c r="I229" s="522"/>
      <c r="J229" s="522">
        <f t="shared" si="47"/>
        <v>74</v>
      </c>
      <c r="K229" s="522"/>
      <c r="L229" s="154"/>
      <c r="N229" s="154"/>
      <c r="O229" s="154"/>
    </row>
    <row r="230" spans="1:15" s="138" customFormat="1" ht="31.5" x14ac:dyDescent="0.25">
      <c r="A230" s="255" t="s">
        <v>191</v>
      </c>
      <c r="B230" s="191" t="s">
        <v>30</v>
      </c>
      <c r="C230" s="4" t="s">
        <v>49</v>
      </c>
      <c r="D230" s="156" t="s">
        <v>192</v>
      </c>
      <c r="E230" s="326"/>
      <c r="F230" s="159">
        <f t="shared" si="47"/>
        <v>650</v>
      </c>
      <c r="G230" s="306"/>
      <c r="H230" s="522">
        <f t="shared" si="47"/>
        <v>74</v>
      </c>
      <c r="I230" s="522"/>
      <c r="J230" s="522">
        <f t="shared" si="47"/>
        <v>74</v>
      </c>
      <c r="K230" s="522"/>
      <c r="L230" s="154"/>
      <c r="N230" s="154"/>
      <c r="O230" s="154"/>
    </row>
    <row r="231" spans="1:15" s="138" customFormat="1" x14ac:dyDescent="0.25">
      <c r="A231" s="278" t="s">
        <v>221</v>
      </c>
      <c r="B231" s="191" t="s">
        <v>30</v>
      </c>
      <c r="C231" s="4" t="s">
        <v>49</v>
      </c>
      <c r="D231" s="281" t="s">
        <v>222</v>
      </c>
      <c r="E231" s="330"/>
      <c r="F231" s="159">
        <f t="shared" si="47"/>
        <v>650</v>
      </c>
      <c r="G231" s="306"/>
      <c r="H231" s="522">
        <f t="shared" si="47"/>
        <v>74</v>
      </c>
      <c r="I231" s="522"/>
      <c r="J231" s="522">
        <f t="shared" si="47"/>
        <v>74</v>
      </c>
      <c r="K231" s="522"/>
      <c r="L231" s="154"/>
      <c r="N231" s="154"/>
      <c r="O231" s="154"/>
    </row>
    <row r="232" spans="1:15" s="138" customFormat="1" x14ac:dyDescent="0.25">
      <c r="A232" s="375" t="s">
        <v>120</v>
      </c>
      <c r="B232" s="191" t="s">
        <v>30</v>
      </c>
      <c r="C232" s="4" t="s">
        <v>49</v>
      </c>
      <c r="D232" s="281" t="s">
        <v>222</v>
      </c>
      <c r="E232" s="332">
        <v>200</v>
      </c>
      <c r="F232" s="159">
        <f t="shared" si="47"/>
        <v>650</v>
      </c>
      <c r="G232" s="306"/>
      <c r="H232" s="522">
        <f t="shared" si="47"/>
        <v>74</v>
      </c>
      <c r="I232" s="522"/>
      <c r="J232" s="522">
        <f t="shared" si="47"/>
        <v>74</v>
      </c>
      <c r="K232" s="522"/>
      <c r="L232" s="154"/>
      <c r="N232" s="154"/>
      <c r="O232" s="154"/>
    </row>
    <row r="233" spans="1:15" s="138" customFormat="1" ht="31.5" x14ac:dyDescent="0.25">
      <c r="A233" s="375" t="s">
        <v>52</v>
      </c>
      <c r="B233" s="191" t="s">
        <v>30</v>
      </c>
      <c r="C233" s="4" t="s">
        <v>49</v>
      </c>
      <c r="D233" s="281" t="s">
        <v>222</v>
      </c>
      <c r="E233" s="332">
        <v>240</v>
      </c>
      <c r="F233" s="159">
        <f>'ведом. 2025-2027'!AD154</f>
        <v>650</v>
      </c>
      <c r="G233" s="306"/>
      <c r="H233" s="522">
        <f>'ведом. 2025-2027'!AE154</f>
        <v>74</v>
      </c>
      <c r="I233" s="522"/>
      <c r="J233" s="522">
        <f>'ведом. 2025-2027'!AF154</f>
        <v>74</v>
      </c>
      <c r="K233" s="522"/>
      <c r="L233" s="154"/>
      <c r="N233" s="154"/>
      <c r="O233" s="154"/>
    </row>
    <row r="234" spans="1:15" s="138" customFormat="1" x14ac:dyDescent="0.25">
      <c r="A234" s="384" t="s">
        <v>46</v>
      </c>
      <c r="B234" s="193" t="s">
        <v>7</v>
      </c>
      <c r="C234" s="188"/>
      <c r="D234" s="280"/>
      <c r="E234" s="330"/>
      <c r="F234" s="161">
        <f>F235+F250+F288</f>
        <v>51899</v>
      </c>
      <c r="G234" s="347"/>
      <c r="H234" s="161">
        <f>H235+H250+H288</f>
        <v>24976.799999999999</v>
      </c>
      <c r="I234" s="161"/>
      <c r="J234" s="161">
        <f>J235+J250+J288</f>
        <v>22943.199999999997</v>
      </c>
      <c r="K234" s="161"/>
      <c r="L234" s="154"/>
      <c r="N234" s="154"/>
      <c r="O234" s="154"/>
    </row>
    <row r="235" spans="1:15" s="138" customFormat="1" x14ac:dyDescent="0.25">
      <c r="A235" s="253" t="s">
        <v>365</v>
      </c>
      <c r="B235" s="191" t="s">
        <v>7</v>
      </c>
      <c r="C235" s="4" t="s">
        <v>22</v>
      </c>
      <c r="D235" s="26"/>
      <c r="E235" s="325"/>
      <c r="F235" s="159">
        <f>F236</f>
        <v>1278.4000000000001</v>
      </c>
      <c r="G235" s="306"/>
      <c r="H235" s="522">
        <f>H236</f>
        <v>1177</v>
      </c>
      <c r="I235" s="522"/>
      <c r="J235" s="522">
        <f>J236</f>
        <v>1177</v>
      </c>
      <c r="K235" s="522"/>
      <c r="L235" s="154"/>
      <c r="N235" s="154"/>
      <c r="O235" s="154"/>
    </row>
    <row r="236" spans="1:15" s="138" customFormat="1" ht="31.5" x14ac:dyDescent="0.25">
      <c r="A236" s="259" t="s">
        <v>161</v>
      </c>
      <c r="B236" s="191" t="s">
        <v>7</v>
      </c>
      <c r="C236" s="4" t="s">
        <v>22</v>
      </c>
      <c r="D236" s="26" t="s">
        <v>102</v>
      </c>
      <c r="E236" s="325"/>
      <c r="F236" s="159">
        <f>F237</f>
        <v>1278.4000000000001</v>
      </c>
      <c r="G236" s="306"/>
      <c r="H236" s="522">
        <f>H237</f>
        <v>1177</v>
      </c>
      <c r="I236" s="522"/>
      <c r="J236" s="522">
        <f>J237</f>
        <v>1177</v>
      </c>
      <c r="K236" s="522"/>
      <c r="L236" s="154"/>
      <c r="N236" s="154"/>
      <c r="O236" s="154"/>
    </row>
    <row r="237" spans="1:15" s="138" customFormat="1" ht="31.5" x14ac:dyDescent="0.25">
      <c r="A237" s="259" t="s">
        <v>583</v>
      </c>
      <c r="B237" s="191" t="s">
        <v>7</v>
      </c>
      <c r="C237" s="4" t="s">
        <v>22</v>
      </c>
      <c r="D237" s="156" t="s">
        <v>103</v>
      </c>
      <c r="E237" s="325"/>
      <c r="F237" s="159">
        <f>F238+F246+F242</f>
        <v>1278.4000000000001</v>
      </c>
      <c r="G237" s="522"/>
      <c r="H237" s="522">
        <f t="shared" ref="H237:J237" si="48">H238+H246+H242</f>
        <v>1177</v>
      </c>
      <c r="I237" s="522"/>
      <c r="J237" s="522">
        <f t="shared" si="48"/>
        <v>1177</v>
      </c>
      <c r="K237" s="522"/>
      <c r="L237" s="154"/>
      <c r="N237" s="154"/>
      <c r="O237" s="154"/>
    </row>
    <row r="238" spans="1:15" s="138" customFormat="1" ht="78.75" x14ac:dyDescent="0.25">
      <c r="A238" s="277" t="s">
        <v>586</v>
      </c>
      <c r="B238" s="191" t="s">
        <v>7</v>
      </c>
      <c r="C238" s="4" t="s">
        <v>22</v>
      </c>
      <c r="D238" s="156" t="s">
        <v>124</v>
      </c>
      <c r="E238" s="325"/>
      <c r="F238" s="159">
        <f t="shared" ref="F238:J239" si="49">F239</f>
        <v>728.4</v>
      </c>
      <c r="G238" s="306"/>
      <c r="H238" s="522">
        <f t="shared" si="49"/>
        <v>727</v>
      </c>
      <c r="I238" s="522"/>
      <c r="J238" s="522">
        <f t="shared" si="49"/>
        <v>727</v>
      </c>
      <c r="K238" s="522"/>
      <c r="L238" s="154"/>
      <c r="N238" s="154"/>
      <c r="O238" s="154"/>
    </row>
    <row r="239" spans="1:15" s="138" customFormat="1" ht="31.5" x14ac:dyDescent="0.25">
      <c r="A239" s="257" t="s">
        <v>174</v>
      </c>
      <c r="B239" s="191" t="s">
        <v>7</v>
      </c>
      <c r="C239" s="4" t="s">
        <v>22</v>
      </c>
      <c r="D239" s="156" t="s">
        <v>175</v>
      </c>
      <c r="E239" s="325"/>
      <c r="F239" s="159">
        <f>F240</f>
        <v>728.4</v>
      </c>
      <c r="G239" s="306"/>
      <c r="H239" s="522">
        <f t="shared" si="49"/>
        <v>727</v>
      </c>
      <c r="I239" s="522"/>
      <c r="J239" s="522">
        <f t="shared" si="49"/>
        <v>727</v>
      </c>
      <c r="K239" s="522"/>
      <c r="L239" s="154"/>
      <c r="N239" s="154"/>
      <c r="O239" s="154"/>
    </row>
    <row r="240" spans="1:15" s="138" customFormat="1" x14ac:dyDescent="0.25">
      <c r="A240" s="253" t="s">
        <v>120</v>
      </c>
      <c r="B240" s="191" t="s">
        <v>7</v>
      </c>
      <c r="C240" s="4" t="s">
        <v>22</v>
      </c>
      <c r="D240" s="156" t="s">
        <v>175</v>
      </c>
      <c r="E240" s="325">
        <v>200</v>
      </c>
      <c r="F240" s="159">
        <f>F241</f>
        <v>728.4</v>
      </c>
      <c r="G240" s="306"/>
      <c r="H240" s="522">
        <f>H241</f>
        <v>727</v>
      </c>
      <c r="I240" s="522"/>
      <c r="J240" s="522">
        <f>J241</f>
        <v>727</v>
      </c>
      <c r="K240" s="522"/>
      <c r="L240" s="154"/>
      <c r="N240" s="154"/>
      <c r="O240" s="154"/>
    </row>
    <row r="241" spans="1:15" s="138" customFormat="1" ht="31.5" x14ac:dyDescent="0.25">
      <c r="A241" s="253" t="s">
        <v>52</v>
      </c>
      <c r="B241" s="191" t="s">
        <v>7</v>
      </c>
      <c r="C241" s="4" t="s">
        <v>22</v>
      </c>
      <c r="D241" s="156" t="s">
        <v>175</v>
      </c>
      <c r="E241" s="325">
        <v>240</v>
      </c>
      <c r="F241" s="159">
        <f>'ведом. 2025-2027'!AD162</f>
        <v>728.4</v>
      </c>
      <c r="G241" s="306"/>
      <c r="H241" s="522">
        <f>'ведом. 2025-2027'!AE162</f>
        <v>727</v>
      </c>
      <c r="I241" s="522"/>
      <c r="J241" s="522">
        <f>'ведом. 2025-2027'!AF162</f>
        <v>727</v>
      </c>
      <c r="K241" s="522"/>
      <c r="L241" s="154"/>
      <c r="N241" s="154"/>
      <c r="O241" s="154"/>
    </row>
    <row r="242" spans="1:15" s="519" customFormat="1" ht="47.25" x14ac:dyDescent="0.25">
      <c r="A242" s="451" t="s">
        <v>678</v>
      </c>
      <c r="B242" s="453" t="s">
        <v>7</v>
      </c>
      <c r="C242" s="454" t="s">
        <v>22</v>
      </c>
      <c r="D242" s="458" t="s">
        <v>729</v>
      </c>
      <c r="E242" s="456"/>
      <c r="F242" s="522">
        <f>F243</f>
        <v>100</v>
      </c>
      <c r="G242" s="522"/>
      <c r="H242" s="522">
        <f t="shared" ref="H242:J244" si="50">H243</f>
        <v>0</v>
      </c>
      <c r="I242" s="522"/>
      <c r="J242" s="522">
        <f t="shared" si="50"/>
        <v>0</v>
      </c>
      <c r="K242" s="522"/>
      <c r="L242" s="521"/>
      <c r="N242" s="521"/>
      <c r="O242" s="521"/>
    </row>
    <row r="243" spans="1:15" s="519" customFormat="1" ht="31.5" x14ac:dyDescent="0.25">
      <c r="A243" s="451" t="s">
        <v>679</v>
      </c>
      <c r="B243" s="453" t="s">
        <v>7</v>
      </c>
      <c r="C243" s="454" t="s">
        <v>22</v>
      </c>
      <c r="D243" s="458" t="s">
        <v>680</v>
      </c>
      <c r="E243" s="456"/>
      <c r="F243" s="522">
        <f>F244</f>
        <v>100</v>
      </c>
      <c r="G243" s="522"/>
      <c r="H243" s="522">
        <f t="shared" si="50"/>
        <v>0</v>
      </c>
      <c r="I243" s="522"/>
      <c r="J243" s="522">
        <f t="shared" si="50"/>
        <v>0</v>
      </c>
      <c r="K243" s="522"/>
      <c r="L243" s="521"/>
      <c r="N243" s="521"/>
      <c r="O243" s="521"/>
    </row>
    <row r="244" spans="1:15" s="519" customFormat="1" x14ac:dyDescent="0.25">
      <c r="A244" s="451" t="s">
        <v>120</v>
      </c>
      <c r="B244" s="453" t="s">
        <v>7</v>
      </c>
      <c r="C244" s="454" t="s">
        <v>22</v>
      </c>
      <c r="D244" s="458" t="s">
        <v>680</v>
      </c>
      <c r="E244" s="456">
        <v>200</v>
      </c>
      <c r="F244" s="522">
        <f>F245</f>
        <v>100</v>
      </c>
      <c r="G244" s="522"/>
      <c r="H244" s="522">
        <f t="shared" si="50"/>
        <v>0</v>
      </c>
      <c r="I244" s="522"/>
      <c r="J244" s="522">
        <f t="shared" si="50"/>
        <v>0</v>
      </c>
      <c r="K244" s="522"/>
      <c r="L244" s="521"/>
      <c r="N244" s="521"/>
      <c r="O244" s="521"/>
    </row>
    <row r="245" spans="1:15" s="519" customFormat="1" ht="31.5" x14ac:dyDescent="0.25">
      <c r="A245" s="523" t="s">
        <v>52</v>
      </c>
      <c r="B245" s="453" t="s">
        <v>7</v>
      </c>
      <c r="C245" s="454" t="s">
        <v>22</v>
      </c>
      <c r="D245" s="458" t="s">
        <v>680</v>
      </c>
      <c r="E245" s="456">
        <v>240</v>
      </c>
      <c r="F245" s="522">
        <f>'ведом. 2025-2027'!AD166</f>
        <v>100</v>
      </c>
      <c r="G245" s="524"/>
      <c r="H245" s="522">
        <f>'ведом. 2025-2027'!AE166</f>
        <v>0</v>
      </c>
      <c r="I245" s="522"/>
      <c r="J245" s="522">
        <f>'ведом. 2025-2027'!AF166</f>
        <v>0</v>
      </c>
      <c r="K245" s="522"/>
      <c r="L245" s="521"/>
      <c r="N245" s="521"/>
      <c r="O245" s="521"/>
    </row>
    <row r="246" spans="1:15" s="138" customFormat="1" ht="47.25" x14ac:dyDescent="0.25">
      <c r="A246" s="257" t="s">
        <v>559</v>
      </c>
      <c r="B246" s="191" t="s">
        <v>7</v>
      </c>
      <c r="C246" s="4" t="s">
        <v>22</v>
      </c>
      <c r="D246" s="156" t="s">
        <v>558</v>
      </c>
      <c r="E246" s="328"/>
      <c r="F246" s="159">
        <f>F247</f>
        <v>450</v>
      </c>
      <c r="G246" s="306"/>
      <c r="H246" s="522">
        <f>H247</f>
        <v>450</v>
      </c>
      <c r="I246" s="522"/>
      <c r="J246" s="522">
        <f>J247</f>
        <v>450</v>
      </c>
      <c r="K246" s="522"/>
      <c r="L246" s="154"/>
      <c r="N246" s="154"/>
      <c r="O246" s="154"/>
    </row>
    <row r="247" spans="1:15" s="138" customFormat="1" ht="31.5" x14ac:dyDescent="0.25">
      <c r="A247" s="258" t="s">
        <v>560</v>
      </c>
      <c r="B247" s="191" t="s">
        <v>7</v>
      </c>
      <c r="C247" s="4" t="s">
        <v>22</v>
      </c>
      <c r="D247" s="156" t="s">
        <v>561</v>
      </c>
      <c r="E247" s="328"/>
      <c r="F247" s="159">
        <f>F248</f>
        <v>450</v>
      </c>
      <c r="G247" s="306"/>
      <c r="H247" s="522">
        <f>H248</f>
        <v>450</v>
      </c>
      <c r="I247" s="522"/>
      <c r="J247" s="522">
        <f>J248</f>
        <v>450</v>
      </c>
      <c r="K247" s="522"/>
      <c r="L247" s="154"/>
      <c r="N247" s="154"/>
      <c r="O247" s="154"/>
    </row>
    <row r="248" spans="1:15" s="138" customFormat="1" x14ac:dyDescent="0.25">
      <c r="A248" s="253" t="s">
        <v>120</v>
      </c>
      <c r="B248" s="191" t="s">
        <v>7</v>
      </c>
      <c r="C248" s="4" t="s">
        <v>22</v>
      </c>
      <c r="D248" s="156" t="s">
        <v>561</v>
      </c>
      <c r="E248" s="328" t="s">
        <v>37</v>
      </c>
      <c r="F248" s="159">
        <f>F249</f>
        <v>450</v>
      </c>
      <c r="G248" s="306"/>
      <c r="H248" s="522">
        <f>H249</f>
        <v>450</v>
      </c>
      <c r="I248" s="522"/>
      <c r="J248" s="522">
        <f>J249</f>
        <v>450</v>
      </c>
      <c r="K248" s="522"/>
      <c r="L248" s="154"/>
      <c r="N248" s="154"/>
      <c r="O248" s="154"/>
    </row>
    <row r="249" spans="1:15" s="138" customFormat="1" ht="31.5" x14ac:dyDescent="0.25">
      <c r="A249" s="253" t="s">
        <v>52</v>
      </c>
      <c r="B249" s="191" t="s">
        <v>7</v>
      </c>
      <c r="C249" s="4" t="s">
        <v>22</v>
      </c>
      <c r="D249" s="156" t="s">
        <v>561</v>
      </c>
      <c r="E249" s="328" t="s">
        <v>65</v>
      </c>
      <c r="F249" s="159">
        <f>'ведом. 2025-2027'!AD170</f>
        <v>450</v>
      </c>
      <c r="G249" s="306"/>
      <c r="H249" s="522">
        <f>'ведом. 2025-2027'!AE170</f>
        <v>450</v>
      </c>
      <c r="I249" s="522"/>
      <c r="J249" s="522">
        <f>'ведом. 2025-2027'!AF170</f>
        <v>450</v>
      </c>
      <c r="K249" s="522"/>
      <c r="L249" s="154"/>
      <c r="N249" s="154"/>
      <c r="O249" s="154"/>
    </row>
    <row r="250" spans="1:15" s="138" customFormat="1" ht="31.5" x14ac:dyDescent="0.25">
      <c r="A250" s="253" t="s">
        <v>366</v>
      </c>
      <c r="B250" s="191" t="s">
        <v>7</v>
      </c>
      <c r="C250" s="4" t="s">
        <v>36</v>
      </c>
      <c r="D250" s="26"/>
      <c r="E250" s="325"/>
      <c r="F250" s="159">
        <f>F251+F282</f>
        <v>29276.799999999999</v>
      </c>
      <c r="G250" s="522"/>
      <c r="H250" s="522">
        <f t="shared" ref="H250:J250" si="51">H251+H282</f>
        <v>11681</v>
      </c>
      <c r="I250" s="522"/>
      <c r="J250" s="522">
        <f t="shared" si="51"/>
        <v>11717</v>
      </c>
      <c r="K250" s="522"/>
      <c r="L250" s="154"/>
      <c r="N250" s="154"/>
      <c r="O250" s="154"/>
    </row>
    <row r="251" spans="1:15" s="138" customFormat="1" ht="31.5" x14ac:dyDescent="0.25">
      <c r="A251" s="259" t="s">
        <v>161</v>
      </c>
      <c r="B251" s="191" t="s">
        <v>7</v>
      </c>
      <c r="C251" s="4" t="s">
        <v>36</v>
      </c>
      <c r="D251" s="26" t="s">
        <v>102</v>
      </c>
      <c r="E251" s="325"/>
      <c r="F251" s="159">
        <f>F252+F261+F275+F268</f>
        <v>29266.799999999999</v>
      </c>
      <c r="G251" s="159"/>
      <c r="H251" s="522">
        <f>H252+H261+H275+H268</f>
        <v>11681</v>
      </c>
      <c r="I251" s="522"/>
      <c r="J251" s="522">
        <f>J252+J261+J275+J268</f>
        <v>11717</v>
      </c>
      <c r="K251" s="522"/>
      <c r="L251" s="154"/>
      <c r="N251" s="154"/>
      <c r="O251" s="154"/>
    </row>
    <row r="252" spans="1:15" s="138" customFormat="1" ht="31.5" x14ac:dyDescent="0.25">
      <c r="A252" s="457" t="s">
        <v>723</v>
      </c>
      <c r="B252" s="191" t="s">
        <v>7</v>
      </c>
      <c r="C252" s="4" t="s">
        <v>36</v>
      </c>
      <c r="D252" s="156" t="s">
        <v>107</v>
      </c>
      <c r="E252" s="328"/>
      <c r="F252" s="159">
        <f>F253+F257</f>
        <v>467</v>
      </c>
      <c r="G252" s="159"/>
      <c r="H252" s="522">
        <f>H253+H257</f>
        <v>567</v>
      </c>
      <c r="I252" s="522"/>
      <c r="J252" s="522">
        <f>J253+J257</f>
        <v>567</v>
      </c>
      <c r="K252" s="522"/>
      <c r="L252" s="154"/>
      <c r="N252" s="154"/>
      <c r="O252" s="154"/>
    </row>
    <row r="253" spans="1:15" s="177" customFormat="1" ht="31.5" x14ac:dyDescent="0.25">
      <c r="A253" s="277" t="s">
        <v>724</v>
      </c>
      <c r="B253" s="191" t="s">
        <v>7</v>
      </c>
      <c r="C253" s="4" t="s">
        <v>36</v>
      </c>
      <c r="D253" s="156" t="s">
        <v>171</v>
      </c>
      <c r="E253" s="268"/>
      <c r="F253" s="159">
        <f>F254</f>
        <v>340</v>
      </c>
      <c r="G253" s="306"/>
      <c r="H253" s="522">
        <f>H254</f>
        <v>340</v>
      </c>
      <c r="I253" s="522"/>
      <c r="J253" s="522">
        <f>J254</f>
        <v>340</v>
      </c>
      <c r="K253" s="522"/>
      <c r="L253" s="154"/>
      <c r="N253" s="154"/>
      <c r="O253" s="154"/>
    </row>
    <row r="254" spans="1:15" s="138" customFormat="1" ht="33.75" customHeight="1" x14ac:dyDescent="0.25">
      <c r="A254" s="259" t="s">
        <v>754</v>
      </c>
      <c r="B254" s="191" t="s">
        <v>7</v>
      </c>
      <c r="C254" s="4" t="s">
        <v>36</v>
      </c>
      <c r="D254" s="156" t="s">
        <v>555</v>
      </c>
      <c r="E254" s="328"/>
      <c r="F254" s="159">
        <f>F255</f>
        <v>340</v>
      </c>
      <c r="G254" s="306"/>
      <c r="H254" s="522">
        <f>H255</f>
        <v>340</v>
      </c>
      <c r="I254" s="522"/>
      <c r="J254" s="522">
        <f>J255</f>
        <v>340</v>
      </c>
      <c r="K254" s="522"/>
      <c r="L254" s="154"/>
      <c r="N254" s="154"/>
      <c r="O254" s="154"/>
    </row>
    <row r="255" spans="1:15" s="138" customFormat="1" x14ac:dyDescent="0.25">
      <c r="A255" s="375" t="s">
        <v>120</v>
      </c>
      <c r="B255" s="191" t="s">
        <v>7</v>
      </c>
      <c r="C255" s="4" t="s">
        <v>36</v>
      </c>
      <c r="D255" s="156" t="s">
        <v>555</v>
      </c>
      <c r="E255" s="333" t="s">
        <v>37</v>
      </c>
      <c r="F255" s="159">
        <f>F256</f>
        <v>340</v>
      </c>
      <c r="G255" s="306"/>
      <c r="H255" s="522">
        <f>H256</f>
        <v>340</v>
      </c>
      <c r="I255" s="522"/>
      <c r="J255" s="522">
        <f>J256</f>
        <v>340</v>
      </c>
      <c r="K255" s="522"/>
      <c r="L255" s="154"/>
      <c r="N255" s="154"/>
      <c r="O255" s="154"/>
    </row>
    <row r="256" spans="1:15" s="138" customFormat="1" ht="31.5" x14ac:dyDescent="0.25">
      <c r="A256" s="375" t="s">
        <v>52</v>
      </c>
      <c r="B256" s="191" t="s">
        <v>7</v>
      </c>
      <c r="C256" s="4" t="s">
        <v>36</v>
      </c>
      <c r="D256" s="156" t="s">
        <v>555</v>
      </c>
      <c r="E256" s="333" t="s">
        <v>65</v>
      </c>
      <c r="F256" s="159">
        <f>'ведом. 2025-2027'!AD177</f>
        <v>340</v>
      </c>
      <c r="G256" s="306"/>
      <c r="H256" s="522">
        <f xml:space="preserve"> 'ведом. 2025-2027'!AE177</f>
        <v>340</v>
      </c>
      <c r="I256" s="522"/>
      <c r="J256" s="522">
        <f>'ведом. 2025-2027'!AF177</f>
        <v>340</v>
      </c>
      <c r="K256" s="522"/>
      <c r="L256" s="154"/>
      <c r="N256" s="154"/>
      <c r="O256" s="154"/>
    </row>
    <row r="257" spans="1:15" s="138" customFormat="1" ht="47.25" x14ac:dyDescent="0.25">
      <c r="A257" s="523" t="s">
        <v>726</v>
      </c>
      <c r="B257" s="191" t="s">
        <v>7</v>
      </c>
      <c r="C257" s="4" t="s">
        <v>36</v>
      </c>
      <c r="D257" s="156" t="s">
        <v>556</v>
      </c>
      <c r="E257" s="328"/>
      <c r="F257" s="159">
        <f>F258</f>
        <v>127</v>
      </c>
      <c r="G257" s="306"/>
      <c r="H257" s="522">
        <f>H258</f>
        <v>227</v>
      </c>
      <c r="I257" s="522"/>
      <c r="J257" s="522">
        <f>J258</f>
        <v>227</v>
      </c>
      <c r="K257" s="522"/>
      <c r="L257" s="154"/>
      <c r="N257" s="154"/>
      <c r="O257" s="154"/>
    </row>
    <row r="258" spans="1:15" s="138" customFormat="1" ht="31.5" x14ac:dyDescent="0.25">
      <c r="A258" s="253" t="s">
        <v>754</v>
      </c>
      <c r="B258" s="191" t="s">
        <v>7</v>
      </c>
      <c r="C258" s="4" t="s">
        <v>36</v>
      </c>
      <c r="D258" s="156" t="s">
        <v>557</v>
      </c>
      <c r="E258" s="328"/>
      <c r="F258" s="159">
        <f>F259</f>
        <v>127</v>
      </c>
      <c r="G258" s="306"/>
      <c r="H258" s="522">
        <f>H259</f>
        <v>227</v>
      </c>
      <c r="I258" s="522"/>
      <c r="J258" s="522">
        <f>J259</f>
        <v>227</v>
      </c>
      <c r="K258" s="522"/>
      <c r="L258" s="154"/>
      <c r="N258" s="154"/>
      <c r="O258" s="154"/>
    </row>
    <row r="259" spans="1:15" s="138" customFormat="1" x14ac:dyDescent="0.25">
      <c r="A259" s="253" t="s">
        <v>120</v>
      </c>
      <c r="B259" s="191" t="s">
        <v>7</v>
      </c>
      <c r="C259" s="4" t="s">
        <v>36</v>
      </c>
      <c r="D259" s="156" t="s">
        <v>557</v>
      </c>
      <c r="E259" s="328" t="s">
        <v>37</v>
      </c>
      <c r="F259" s="159">
        <f>F260</f>
        <v>127</v>
      </c>
      <c r="G259" s="306"/>
      <c r="H259" s="522">
        <f>H260</f>
        <v>227</v>
      </c>
      <c r="I259" s="522"/>
      <c r="J259" s="522">
        <f>J260</f>
        <v>227</v>
      </c>
      <c r="K259" s="522"/>
      <c r="L259" s="154"/>
      <c r="N259" s="154"/>
      <c r="O259" s="154"/>
    </row>
    <row r="260" spans="1:15" s="177" customFormat="1" ht="31.5" x14ac:dyDescent="0.25">
      <c r="A260" s="253" t="s">
        <v>52</v>
      </c>
      <c r="B260" s="191" t="s">
        <v>7</v>
      </c>
      <c r="C260" s="4" t="s">
        <v>36</v>
      </c>
      <c r="D260" s="156" t="s">
        <v>557</v>
      </c>
      <c r="E260" s="328" t="s">
        <v>65</v>
      </c>
      <c r="F260" s="159">
        <f>'ведом. 2025-2027'!AD181</f>
        <v>127</v>
      </c>
      <c r="G260" s="306"/>
      <c r="H260" s="522">
        <f>'ведом. 2025-2027'!AE181</f>
        <v>227</v>
      </c>
      <c r="I260" s="522"/>
      <c r="J260" s="522">
        <f>'ведом. 2025-2027'!AF181</f>
        <v>227</v>
      </c>
      <c r="K260" s="522"/>
      <c r="L260" s="154"/>
      <c r="N260" s="154"/>
      <c r="O260" s="154"/>
    </row>
    <row r="261" spans="1:15" s="138" customFormat="1" ht="31.5" x14ac:dyDescent="0.25">
      <c r="A261" s="259" t="s">
        <v>357</v>
      </c>
      <c r="B261" s="191" t="s">
        <v>7</v>
      </c>
      <c r="C261" s="4" t="s">
        <v>36</v>
      </c>
      <c r="D261" s="156" t="s">
        <v>104</v>
      </c>
      <c r="E261" s="326"/>
      <c r="F261" s="159">
        <f>F262</f>
        <v>698</v>
      </c>
      <c r="G261" s="306"/>
      <c r="H261" s="522">
        <f>H262</f>
        <v>694</v>
      </c>
      <c r="I261" s="522"/>
      <c r="J261" s="522">
        <f>J262</f>
        <v>694</v>
      </c>
      <c r="K261" s="522"/>
      <c r="L261" s="154"/>
      <c r="N261" s="154"/>
      <c r="O261" s="154"/>
    </row>
    <row r="262" spans="1:15" s="138" customFormat="1" ht="31.5" x14ac:dyDescent="0.25">
      <c r="A262" s="257" t="s">
        <v>562</v>
      </c>
      <c r="B262" s="191" t="s">
        <v>7</v>
      </c>
      <c r="C262" s="4" t="s">
        <v>36</v>
      </c>
      <c r="D262" s="156" t="s">
        <v>125</v>
      </c>
      <c r="E262" s="328"/>
      <c r="F262" s="159">
        <f>F263</f>
        <v>698</v>
      </c>
      <c r="G262" s="306"/>
      <c r="H262" s="522">
        <f>H263</f>
        <v>694</v>
      </c>
      <c r="I262" s="522"/>
      <c r="J262" s="522">
        <f>J263</f>
        <v>694</v>
      </c>
      <c r="K262" s="522"/>
      <c r="L262" s="154"/>
      <c r="N262" s="154"/>
      <c r="O262" s="154"/>
    </row>
    <row r="263" spans="1:15" s="138" customFormat="1" ht="31.5" x14ac:dyDescent="0.25">
      <c r="A263" s="479" t="s">
        <v>755</v>
      </c>
      <c r="B263" s="191" t="s">
        <v>7</v>
      </c>
      <c r="C263" s="4" t="s">
        <v>36</v>
      </c>
      <c r="D263" s="156" t="s">
        <v>173</v>
      </c>
      <c r="E263" s="326"/>
      <c r="F263" s="159">
        <f>F264+F266</f>
        <v>698</v>
      </c>
      <c r="G263" s="522"/>
      <c r="H263" s="522">
        <f t="shared" ref="H263:J263" si="52">H264+H266</f>
        <v>694</v>
      </c>
      <c r="I263" s="522"/>
      <c r="J263" s="522">
        <f t="shared" si="52"/>
        <v>694</v>
      </c>
      <c r="K263" s="522"/>
      <c r="L263" s="154"/>
      <c r="N263" s="154"/>
      <c r="O263" s="154"/>
    </row>
    <row r="264" spans="1:15" s="138" customFormat="1" x14ac:dyDescent="0.25">
      <c r="A264" s="253" t="s">
        <v>120</v>
      </c>
      <c r="B264" s="191" t="s">
        <v>7</v>
      </c>
      <c r="C264" s="4" t="s">
        <v>36</v>
      </c>
      <c r="D264" s="156" t="s">
        <v>173</v>
      </c>
      <c r="E264" s="328" t="s">
        <v>37</v>
      </c>
      <c r="F264" s="159">
        <f>F265</f>
        <v>359.5</v>
      </c>
      <c r="G264" s="306"/>
      <c r="H264" s="522">
        <f>H265</f>
        <v>355.5</v>
      </c>
      <c r="I264" s="522"/>
      <c r="J264" s="522">
        <f>J265</f>
        <v>435</v>
      </c>
      <c r="K264" s="522"/>
      <c r="L264" s="154"/>
      <c r="N264" s="154"/>
      <c r="O264" s="154"/>
    </row>
    <row r="265" spans="1:15" s="138" customFormat="1" ht="31.5" x14ac:dyDescent="0.25">
      <c r="A265" s="253" t="s">
        <v>52</v>
      </c>
      <c r="B265" s="191" t="s">
        <v>7</v>
      </c>
      <c r="C265" s="4" t="s">
        <v>36</v>
      </c>
      <c r="D265" s="156" t="s">
        <v>173</v>
      </c>
      <c r="E265" s="328" t="s">
        <v>65</v>
      </c>
      <c r="F265" s="159">
        <f>'ведом. 2025-2027'!AD186</f>
        <v>359.5</v>
      </c>
      <c r="G265" s="306"/>
      <c r="H265" s="522">
        <f>'ведом. 2025-2027'!AE186</f>
        <v>355.5</v>
      </c>
      <c r="I265" s="522"/>
      <c r="J265" s="522">
        <f>'ведом. 2025-2027'!AF186</f>
        <v>435</v>
      </c>
      <c r="K265" s="522"/>
      <c r="L265" s="154"/>
      <c r="N265" s="154"/>
      <c r="O265" s="154"/>
    </row>
    <row r="266" spans="1:15" s="519" customFormat="1" ht="31.5" x14ac:dyDescent="0.25">
      <c r="A266" s="523" t="s">
        <v>60</v>
      </c>
      <c r="B266" s="191" t="s">
        <v>7</v>
      </c>
      <c r="C266" s="516" t="s">
        <v>36</v>
      </c>
      <c r="D266" s="156" t="s">
        <v>173</v>
      </c>
      <c r="E266" s="328" t="s">
        <v>387</v>
      </c>
      <c r="F266" s="522">
        <f>F267</f>
        <v>338.5</v>
      </c>
      <c r="G266" s="522"/>
      <c r="H266" s="522">
        <f t="shared" ref="H266:J266" si="53">H267</f>
        <v>338.5</v>
      </c>
      <c r="I266" s="522"/>
      <c r="J266" s="522">
        <f t="shared" si="53"/>
        <v>259</v>
      </c>
      <c r="K266" s="522"/>
      <c r="L266" s="521"/>
      <c r="N266" s="521"/>
      <c r="O266" s="521"/>
    </row>
    <row r="267" spans="1:15" s="519" customFormat="1" x14ac:dyDescent="0.25">
      <c r="A267" s="523" t="s">
        <v>61</v>
      </c>
      <c r="B267" s="191" t="s">
        <v>7</v>
      </c>
      <c r="C267" s="516" t="s">
        <v>36</v>
      </c>
      <c r="D267" s="156" t="s">
        <v>173</v>
      </c>
      <c r="E267" s="328" t="s">
        <v>388</v>
      </c>
      <c r="F267" s="522">
        <f>'ведом. 2025-2027'!AD188</f>
        <v>338.5</v>
      </c>
      <c r="G267" s="524"/>
      <c r="H267" s="522">
        <f>'ведом. 2025-2027'!AE188</f>
        <v>338.5</v>
      </c>
      <c r="I267" s="522"/>
      <c r="J267" s="522">
        <f>'ведом. 2025-2027'!AF188</f>
        <v>259</v>
      </c>
      <c r="K267" s="522"/>
      <c r="L267" s="521"/>
      <c r="N267" s="521"/>
      <c r="O267" s="521"/>
    </row>
    <row r="268" spans="1:15" s="177" customFormat="1" ht="31.5" x14ac:dyDescent="0.25">
      <c r="A268" s="253" t="s">
        <v>563</v>
      </c>
      <c r="B268" s="191" t="s">
        <v>7</v>
      </c>
      <c r="C268" s="4" t="s">
        <v>36</v>
      </c>
      <c r="D268" s="156" t="s">
        <v>108</v>
      </c>
      <c r="E268" s="328"/>
      <c r="F268" s="159">
        <f>F269</f>
        <v>870</v>
      </c>
      <c r="G268" s="306"/>
      <c r="H268" s="522">
        <f>H269</f>
        <v>770</v>
      </c>
      <c r="I268" s="522"/>
      <c r="J268" s="522">
        <f>J269</f>
        <v>770</v>
      </c>
      <c r="K268" s="522"/>
      <c r="L268" s="154"/>
      <c r="N268" s="154"/>
      <c r="O268" s="154"/>
    </row>
    <row r="269" spans="1:15" s="177" customFormat="1" ht="31.5" x14ac:dyDescent="0.25">
      <c r="A269" s="253" t="s">
        <v>564</v>
      </c>
      <c r="B269" s="191" t="s">
        <v>7</v>
      </c>
      <c r="C269" s="4" t="s">
        <v>36</v>
      </c>
      <c r="D269" s="156" t="s">
        <v>565</v>
      </c>
      <c r="E269" s="328"/>
      <c r="F269" s="159">
        <f>F270</f>
        <v>870</v>
      </c>
      <c r="G269" s="306"/>
      <c r="H269" s="522">
        <f>H270</f>
        <v>770</v>
      </c>
      <c r="I269" s="522"/>
      <c r="J269" s="522">
        <f>J270</f>
        <v>770</v>
      </c>
      <c r="K269" s="522"/>
      <c r="L269" s="154"/>
      <c r="N269" s="154"/>
      <c r="O269" s="154"/>
    </row>
    <row r="270" spans="1:15" s="177" customFormat="1" ht="31.5" x14ac:dyDescent="0.25">
      <c r="A270" s="253" t="s">
        <v>172</v>
      </c>
      <c r="B270" s="191" t="s">
        <v>7</v>
      </c>
      <c r="C270" s="4" t="s">
        <v>36</v>
      </c>
      <c r="D270" s="156" t="s">
        <v>566</v>
      </c>
      <c r="E270" s="328"/>
      <c r="F270" s="159">
        <f>F273+F271</f>
        <v>870</v>
      </c>
      <c r="G270" s="522"/>
      <c r="H270" s="522">
        <f t="shared" ref="H270:J270" si="54">H273+H271</f>
        <v>770</v>
      </c>
      <c r="I270" s="522"/>
      <c r="J270" s="522">
        <f t="shared" si="54"/>
        <v>770</v>
      </c>
      <c r="K270" s="522"/>
      <c r="L270" s="154"/>
      <c r="N270" s="154"/>
      <c r="O270" s="154"/>
    </row>
    <row r="271" spans="1:15" s="519" customFormat="1" x14ac:dyDescent="0.25">
      <c r="A271" s="451" t="s">
        <v>120</v>
      </c>
      <c r="B271" s="191" t="s">
        <v>7</v>
      </c>
      <c r="C271" s="516" t="s">
        <v>36</v>
      </c>
      <c r="D271" s="156" t="s">
        <v>566</v>
      </c>
      <c r="E271" s="328" t="s">
        <v>37</v>
      </c>
      <c r="F271" s="522">
        <f>F272</f>
        <v>100</v>
      </c>
      <c r="G271" s="524"/>
      <c r="H271" s="522">
        <f>H272</f>
        <v>0</v>
      </c>
      <c r="I271" s="522"/>
      <c r="J271" s="522">
        <f>J272</f>
        <v>0</v>
      </c>
      <c r="K271" s="522"/>
      <c r="L271" s="521"/>
      <c r="N271" s="521"/>
      <c r="O271" s="521"/>
    </row>
    <row r="272" spans="1:15" s="519" customFormat="1" ht="21" customHeight="1" x14ac:dyDescent="0.25">
      <c r="A272" s="451" t="s">
        <v>52</v>
      </c>
      <c r="B272" s="191" t="s">
        <v>7</v>
      </c>
      <c r="C272" s="516" t="s">
        <v>36</v>
      </c>
      <c r="D272" s="156" t="s">
        <v>566</v>
      </c>
      <c r="E272" s="328" t="s">
        <v>65</v>
      </c>
      <c r="F272" s="522">
        <f>'ведом. 2025-2027'!AD193</f>
        <v>100</v>
      </c>
      <c r="G272" s="524"/>
      <c r="H272" s="522">
        <f>'ведом. 2025-2027'!AE193</f>
        <v>0</v>
      </c>
      <c r="I272" s="522"/>
      <c r="J272" s="522">
        <f>'ведом. 2025-2027'!AF193</f>
        <v>0</v>
      </c>
      <c r="K272" s="522"/>
      <c r="L272" s="521"/>
      <c r="N272" s="521"/>
      <c r="O272" s="521"/>
    </row>
    <row r="273" spans="1:15" s="177" customFormat="1" ht="31.5" x14ac:dyDescent="0.25">
      <c r="A273" s="253" t="s">
        <v>60</v>
      </c>
      <c r="B273" s="191" t="s">
        <v>7</v>
      </c>
      <c r="C273" s="4" t="s">
        <v>36</v>
      </c>
      <c r="D273" s="156" t="s">
        <v>566</v>
      </c>
      <c r="E273" s="328" t="s">
        <v>387</v>
      </c>
      <c r="F273" s="159">
        <f>F274</f>
        <v>770</v>
      </c>
      <c r="G273" s="306"/>
      <c r="H273" s="522">
        <f>H274</f>
        <v>770</v>
      </c>
      <c r="I273" s="522"/>
      <c r="J273" s="522">
        <f>J274</f>
        <v>770</v>
      </c>
      <c r="K273" s="522"/>
      <c r="L273" s="154"/>
      <c r="N273" s="154"/>
      <c r="O273" s="154"/>
    </row>
    <row r="274" spans="1:15" s="177" customFormat="1" x14ac:dyDescent="0.25">
      <c r="A274" s="253" t="s">
        <v>61</v>
      </c>
      <c r="B274" s="191" t="s">
        <v>7</v>
      </c>
      <c r="C274" s="4" t="s">
        <v>36</v>
      </c>
      <c r="D274" s="156" t="s">
        <v>566</v>
      </c>
      <c r="E274" s="328" t="s">
        <v>388</v>
      </c>
      <c r="F274" s="159">
        <f>'ведом. 2025-2027'!AD195</f>
        <v>770</v>
      </c>
      <c r="G274" s="306"/>
      <c r="H274" s="522">
        <f>'ведом. 2025-2027'!AE195</f>
        <v>770</v>
      </c>
      <c r="I274" s="522"/>
      <c r="J274" s="522">
        <f>'ведом. 2025-2027'!AF195</f>
        <v>770</v>
      </c>
      <c r="K274" s="522"/>
      <c r="L274" s="154"/>
      <c r="N274" s="154"/>
      <c r="O274" s="154"/>
    </row>
    <row r="275" spans="1:15" s="177" customFormat="1" x14ac:dyDescent="0.25">
      <c r="A275" s="257" t="s">
        <v>48</v>
      </c>
      <c r="B275" s="191" t="s">
        <v>7</v>
      </c>
      <c r="C275" s="4" t="s">
        <v>36</v>
      </c>
      <c r="D275" s="156" t="s">
        <v>105</v>
      </c>
      <c r="E275" s="328"/>
      <c r="F275" s="159">
        <f>F276</f>
        <v>27231.8</v>
      </c>
      <c r="G275" s="306"/>
      <c r="H275" s="522">
        <f t="shared" ref="H275:J276" si="55">H276</f>
        <v>9650</v>
      </c>
      <c r="I275" s="522"/>
      <c r="J275" s="522">
        <f t="shared" si="55"/>
        <v>9686</v>
      </c>
      <c r="K275" s="522"/>
      <c r="L275" s="154"/>
      <c r="N275" s="154"/>
      <c r="O275" s="154"/>
    </row>
    <row r="276" spans="1:15" s="177" customFormat="1" ht="31.5" x14ac:dyDescent="0.25">
      <c r="A276" s="257" t="s">
        <v>269</v>
      </c>
      <c r="B276" s="191" t="s">
        <v>7</v>
      </c>
      <c r="C276" s="4" t="s">
        <v>36</v>
      </c>
      <c r="D276" s="156" t="s">
        <v>351</v>
      </c>
      <c r="E276" s="328"/>
      <c r="F276" s="159">
        <f>F277</f>
        <v>27231.8</v>
      </c>
      <c r="G276" s="159"/>
      <c r="H276" s="522">
        <f t="shared" si="55"/>
        <v>9650</v>
      </c>
      <c r="I276" s="522"/>
      <c r="J276" s="522">
        <f t="shared" si="55"/>
        <v>9686</v>
      </c>
      <c r="K276" s="522"/>
      <c r="L276" s="154"/>
      <c r="N276" s="154"/>
      <c r="O276" s="154"/>
    </row>
    <row r="277" spans="1:15" s="138" customFormat="1" x14ac:dyDescent="0.25">
      <c r="A277" s="257" t="s">
        <v>176</v>
      </c>
      <c r="B277" s="191" t="s">
        <v>7</v>
      </c>
      <c r="C277" s="4" t="s">
        <v>36</v>
      </c>
      <c r="D277" s="156" t="s">
        <v>177</v>
      </c>
      <c r="E277" s="328"/>
      <c r="F277" s="159">
        <f>F278+F280</f>
        <v>27231.8</v>
      </c>
      <c r="G277" s="159"/>
      <c r="H277" s="522">
        <f>H278+H280</f>
        <v>9650</v>
      </c>
      <c r="I277" s="522"/>
      <c r="J277" s="522">
        <f>J278+J280</f>
        <v>9686</v>
      </c>
      <c r="K277" s="522"/>
      <c r="L277" s="154"/>
      <c r="N277" s="154"/>
      <c r="O277" s="154"/>
    </row>
    <row r="278" spans="1:15" s="138" customFormat="1" ht="47.25" x14ac:dyDescent="0.25">
      <c r="A278" s="253" t="s">
        <v>150</v>
      </c>
      <c r="B278" s="191" t="s">
        <v>7</v>
      </c>
      <c r="C278" s="4" t="s">
        <v>36</v>
      </c>
      <c r="D278" s="156" t="s">
        <v>177</v>
      </c>
      <c r="E278" s="328" t="s">
        <v>127</v>
      </c>
      <c r="F278" s="159">
        <f>F279</f>
        <v>25165.599999999999</v>
      </c>
      <c r="G278" s="306"/>
      <c r="H278" s="522">
        <f>H279</f>
        <v>7883.8</v>
      </c>
      <c r="I278" s="522"/>
      <c r="J278" s="522">
        <f>J279</f>
        <v>7919.8</v>
      </c>
      <c r="K278" s="522"/>
      <c r="L278" s="154"/>
      <c r="N278" s="154"/>
      <c r="O278" s="154"/>
    </row>
    <row r="279" spans="1:15" s="138" customFormat="1" x14ac:dyDescent="0.25">
      <c r="A279" s="253" t="s">
        <v>68</v>
      </c>
      <c r="B279" s="191" t="s">
        <v>7</v>
      </c>
      <c r="C279" s="4" t="s">
        <v>36</v>
      </c>
      <c r="D279" s="156" t="s">
        <v>177</v>
      </c>
      <c r="E279" s="328" t="s">
        <v>128</v>
      </c>
      <c r="F279" s="159">
        <f>'ведом. 2025-2027'!AD200</f>
        <v>25165.599999999999</v>
      </c>
      <c r="G279" s="306"/>
      <c r="H279" s="522">
        <f>'ведом. 2025-2027'!AE200</f>
        <v>7883.8</v>
      </c>
      <c r="I279" s="522"/>
      <c r="J279" s="522">
        <f>'ведом. 2025-2027'!AF200</f>
        <v>7919.8</v>
      </c>
      <c r="K279" s="522"/>
      <c r="L279" s="154"/>
      <c r="N279" s="154"/>
      <c r="O279" s="154"/>
    </row>
    <row r="280" spans="1:15" s="177" customFormat="1" x14ac:dyDescent="0.25">
      <c r="A280" s="253" t="s">
        <v>120</v>
      </c>
      <c r="B280" s="1" t="s">
        <v>7</v>
      </c>
      <c r="C280" s="4" t="s">
        <v>36</v>
      </c>
      <c r="D280" s="291" t="s">
        <v>177</v>
      </c>
      <c r="E280" s="430" t="s">
        <v>37</v>
      </c>
      <c r="F280" s="159">
        <f>F281</f>
        <v>2066.1999999999998</v>
      </c>
      <c r="G280" s="159"/>
      <c r="H280" s="522">
        <f>H281</f>
        <v>1766.2</v>
      </c>
      <c r="I280" s="522"/>
      <c r="J280" s="522">
        <f>J281</f>
        <v>1766.2</v>
      </c>
      <c r="K280" s="522"/>
      <c r="L280" s="154"/>
      <c r="N280" s="154"/>
      <c r="O280" s="154"/>
    </row>
    <row r="281" spans="1:15" s="177" customFormat="1" ht="31.5" x14ac:dyDescent="0.25">
      <c r="A281" s="253" t="s">
        <v>52</v>
      </c>
      <c r="B281" s="1" t="s">
        <v>7</v>
      </c>
      <c r="C281" s="4" t="s">
        <v>36</v>
      </c>
      <c r="D281" s="291" t="s">
        <v>177</v>
      </c>
      <c r="E281" s="430" t="s">
        <v>65</v>
      </c>
      <c r="F281" s="159">
        <f>'ведом. 2025-2027'!AD202</f>
        <v>2066.1999999999998</v>
      </c>
      <c r="G281" s="306"/>
      <c r="H281" s="522">
        <f>'ведом. 2025-2027'!AE202</f>
        <v>1766.2</v>
      </c>
      <c r="I281" s="522"/>
      <c r="J281" s="522">
        <f>'ведом. 2025-2027'!AF202</f>
        <v>1766.2</v>
      </c>
      <c r="K281" s="522"/>
      <c r="L281" s="154"/>
      <c r="N281" s="154"/>
      <c r="O281" s="154"/>
    </row>
    <row r="282" spans="1:15" s="519" customFormat="1" x14ac:dyDescent="0.25">
      <c r="A282" s="457" t="s">
        <v>186</v>
      </c>
      <c r="B282" s="453" t="s">
        <v>7</v>
      </c>
      <c r="C282" s="453" t="s">
        <v>36</v>
      </c>
      <c r="D282" s="542" t="s">
        <v>112</v>
      </c>
      <c r="E282" s="482"/>
      <c r="F282" s="522">
        <f>F283</f>
        <v>10</v>
      </c>
      <c r="G282" s="522"/>
      <c r="H282" s="522">
        <f t="shared" ref="H282:J286" si="56">H283</f>
        <v>0</v>
      </c>
      <c r="I282" s="522"/>
      <c r="J282" s="522">
        <f t="shared" si="56"/>
        <v>0</v>
      </c>
      <c r="K282" s="522"/>
      <c r="L282" s="521"/>
      <c r="N282" s="521"/>
      <c r="O282" s="521"/>
    </row>
    <row r="283" spans="1:15" s="519" customFormat="1" x14ac:dyDescent="0.25">
      <c r="A283" s="457" t="s">
        <v>189</v>
      </c>
      <c r="B283" s="453" t="s">
        <v>7</v>
      </c>
      <c r="C283" s="453" t="s">
        <v>36</v>
      </c>
      <c r="D283" s="542" t="s">
        <v>190</v>
      </c>
      <c r="E283" s="482"/>
      <c r="F283" s="522">
        <f>F284</f>
        <v>10</v>
      </c>
      <c r="G283" s="522"/>
      <c r="H283" s="522">
        <f t="shared" si="56"/>
        <v>0</v>
      </c>
      <c r="I283" s="522"/>
      <c r="J283" s="522">
        <f t="shared" si="56"/>
        <v>0</v>
      </c>
      <c r="K283" s="522"/>
      <c r="L283" s="521"/>
      <c r="N283" s="521"/>
      <c r="O283" s="521"/>
    </row>
    <row r="284" spans="1:15" s="519" customFormat="1" ht="31.5" x14ac:dyDescent="0.25">
      <c r="A284" s="451" t="s">
        <v>534</v>
      </c>
      <c r="B284" s="453" t="s">
        <v>7</v>
      </c>
      <c r="C284" s="453" t="s">
        <v>36</v>
      </c>
      <c r="D284" s="544" t="s">
        <v>535</v>
      </c>
      <c r="E284" s="454"/>
      <c r="F284" s="522">
        <f>F285</f>
        <v>10</v>
      </c>
      <c r="G284" s="522"/>
      <c r="H284" s="522">
        <f t="shared" si="56"/>
        <v>0</v>
      </c>
      <c r="I284" s="522"/>
      <c r="J284" s="522">
        <f t="shared" si="56"/>
        <v>0</v>
      </c>
      <c r="K284" s="522"/>
      <c r="L284" s="521"/>
      <c r="N284" s="521"/>
      <c r="O284" s="521"/>
    </row>
    <row r="285" spans="1:15" s="519" customFormat="1" ht="78.75" x14ac:dyDescent="0.25">
      <c r="A285" s="451" t="s">
        <v>406</v>
      </c>
      <c r="B285" s="453" t="s">
        <v>7</v>
      </c>
      <c r="C285" s="453" t="s">
        <v>36</v>
      </c>
      <c r="D285" s="542" t="s">
        <v>536</v>
      </c>
      <c r="E285" s="454"/>
      <c r="F285" s="522">
        <f>F286</f>
        <v>10</v>
      </c>
      <c r="G285" s="522"/>
      <c r="H285" s="522">
        <f t="shared" si="56"/>
        <v>0</v>
      </c>
      <c r="I285" s="522"/>
      <c r="J285" s="522">
        <f t="shared" si="56"/>
        <v>0</v>
      </c>
      <c r="K285" s="522"/>
      <c r="L285" s="521"/>
      <c r="N285" s="521"/>
      <c r="O285" s="521"/>
    </row>
    <row r="286" spans="1:15" s="519" customFormat="1" x14ac:dyDescent="0.25">
      <c r="A286" s="451" t="s">
        <v>120</v>
      </c>
      <c r="B286" s="453" t="s">
        <v>7</v>
      </c>
      <c r="C286" s="453" t="s">
        <v>36</v>
      </c>
      <c r="D286" s="542" t="s">
        <v>536</v>
      </c>
      <c r="E286" s="454">
        <v>200</v>
      </c>
      <c r="F286" s="522">
        <f>F287</f>
        <v>10</v>
      </c>
      <c r="G286" s="522"/>
      <c r="H286" s="522">
        <f t="shared" si="56"/>
        <v>0</v>
      </c>
      <c r="I286" s="522"/>
      <c r="J286" s="522">
        <f t="shared" si="56"/>
        <v>0</v>
      </c>
      <c r="K286" s="522"/>
      <c r="L286" s="521"/>
      <c r="N286" s="521"/>
      <c r="O286" s="521"/>
    </row>
    <row r="287" spans="1:15" s="519" customFormat="1" ht="31.5" x14ac:dyDescent="0.25">
      <c r="A287" s="451" t="s">
        <v>52</v>
      </c>
      <c r="B287" s="453" t="s">
        <v>7</v>
      </c>
      <c r="C287" s="453" t="s">
        <v>36</v>
      </c>
      <c r="D287" s="542" t="s">
        <v>536</v>
      </c>
      <c r="E287" s="454">
        <v>240</v>
      </c>
      <c r="F287" s="522">
        <f>'ведом. 2025-2027'!AD208</f>
        <v>10</v>
      </c>
      <c r="G287" s="524"/>
      <c r="H287" s="522">
        <f>'ведом. 2025-2027'!AE208</f>
        <v>0</v>
      </c>
      <c r="I287" s="522"/>
      <c r="J287" s="522">
        <f>'ведом. 2025-2027'!AF208</f>
        <v>0</v>
      </c>
      <c r="K287" s="522"/>
      <c r="L287" s="521"/>
      <c r="N287" s="521"/>
      <c r="O287" s="521"/>
    </row>
    <row r="288" spans="1:15" s="138" customFormat="1" ht="31.5" x14ac:dyDescent="0.25">
      <c r="A288" s="253" t="s">
        <v>151</v>
      </c>
      <c r="B288" s="191" t="s">
        <v>7</v>
      </c>
      <c r="C288" s="4">
        <v>14</v>
      </c>
      <c r="D288" s="26"/>
      <c r="E288" s="328"/>
      <c r="F288" s="159">
        <f>F289+F299</f>
        <v>21343.8</v>
      </c>
      <c r="G288" s="522"/>
      <c r="H288" s="522">
        <f t="shared" ref="H288:J288" si="57">H289+H299</f>
        <v>12118.8</v>
      </c>
      <c r="I288" s="522"/>
      <c r="J288" s="522">
        <f t="shared" si="57"/>
        <v>10049.199999999999</v>
      </c>
      <c r="K288" s="522"/>
      <c r="L288" s="154"/>
      <c r="N288" s="154"/>
      <c r="O288" s="154"/>
    </row>
    <row r="289" spans="1:15" s="138" customFormat="1" ht="31.5" x14ac:dyDescent="0.25">
      <c r="A289" s="259" t="s">
        <v>161</v>
      </c>
      <c r="B289" s="191" t="s">
        <v>7</v>
      </c>
      <c r="C289" s="4">
        <v>14</v>
      </c>
      <c r="D289" s="26" t="s">
        <v>102</v>
      </c>
      <c r="E289" s="328"/>
      <c r="F289" s="159">
        <f>F290</f>
        <v>19343.8</v>
      </c>
      <c r="G289" s="306"/>
      <c r="H289" s="522">
        <f>H290</f>
        <v>12118.8</v>
      </c>
      <c r="I289" s="522"/>
      <c r="J289" s="522">
        <f>J290</f>
        <v>10049.199999999999</v>
      </c>
      <c r="K289" s="522"/>
      <c r="L289" s="154"/>
      <c r="N289" s="154"/>
      <c r="O289" s="154"/>
    </row>
    <row r="290" spans="1:15" s="138" customFormat="1" x14ac:dyDescent="0.25">
      <c r="A290" s="259" t="s">
        <v>162</v>
      </c>
      <c r="B290" s="191" t="s">
        <v>7</v>
      </c>
      <c r="C290" s="4">
        <v>14</v>
      </c>
      <c r="D290" s="26" t="s">
        <v>106</v>
      </c>
      <c r="E290" s="328"/>
      <c r="F290" s="159">
        <f>F291+F295</f>
        <v>19343.8</v>
      </c>
      <c r="G290" s="306"/>
      <c r="H290" s="522">
        <f>H291+H295</f>
        <v>12118.8</v>
      </c>
      <c r="I290" s="522"/>
      <c r="J290" s="522">
        <f>J291+J295</f>
        <v>10049.199999999999</v>
      </c>
      <c r="K290" s="522"/>
      <c r="L290" s="154"/>
      <c r="N290" s="154"/>
      <c r="O290" s="154"/>
    </row>
    <row r="291" spans="1:15" s="138" customFormat="1" ht="31.5" x14ac:dyDescent="0.25">
      <c r="A291" s="257" t="s">
        <v>163</v>
      </c>
      <c r="B291" s="191" t="s">
        <v>7</v>
      </c>
      <c r="C291" s="4">
        <v>14</v>
      </c>
      <c r="D291" s="156" t="s">
        <v>123</v>
      </c>
      <c r="E291" s="325"/>
      <c r="F291" s="159">
        <f>F292</f>
        <v>864.8</v>
      </c>
      <c r="G291" s="306"/>
      <c r="H291" s="522">
        <f>H292</f>
        <v>64.8</v>
      </c>
      <c r="I291" s="522"/>
      <c r="J291" s="522">
        <f>J292</f>
        <v>64.8</v>
      </c>
      <c r="K291" s="522"/>
      <c r="L291" s="154"/>
      <c r="N291" s="154"/>
      <c r="O291" s="154"/>
    </row>
    <row r="292" spans="1:15" s="138" customFormat="1" ht="31.5" x14ac:dyDescent="0.25">
      <c r="A292" s="257" t="s">
        <v>164</v>
      </c>
      <c r="B292" s="191" t="s">
        <v>7</v>
      </c>
      <c r="C292" s="4">
        <v>14</v>
      </c>
      <c r="D292" s="156" t="s">
        <v>165</v>
      </c>
      <c r="E292" s="325"/>
      <c r="F292" s="159">
        <f>F293</f>
        <v>864.8</v>
      </c>
      <c r="G292" s="306"/>
      <c r="H292" s="522">
        <f>H293</f>
        <v>64.8</v>
      </c>
      <c r="I292" s="522"/>
      <c r="J292" s="522">
        <f>J293</f>
        <v>64.8</v>
      </c>
      <c r="K292" s="522"/>
      <c r="L292" s="154"/>
      <c r="N292" s="154"/>
      <c r="O292" s="154"/>
    </row>
    <row r="293" spans="1:15" s="138" customFormat="1" ht="31.5" x14ac:dyDescent="0.25">
      <c r="A293" s="375" t="s">
        <v>60</v>
      </c>
      <c r="B293" s="191" t="s">
        <v>7</v>
      </c>
      <c r="C293" s="4">
        <v>14</v>
      </c>
      <c r="D293" s="156" t="s">
        <v>165</v>
      </c>
      <c r="E293" s="326">
        <v>600</v>
      </c>
      <c r="F293" s="159">
        <f>F294</f>
        <v>864.8</v>
      </c>
      <c r="G293" s="306"/>
      <c r="H293" s="522">
        <f>H294</f>
        <v>64.8</v>
      </c>
      <c r="I293" s="522"/>
      <c r="J293" s="522">
        <f>J294</f>
        <v>64.8</v>
      </c>
      <c r="K293" s="522"/>
      <c r="L293" s="154"/>
      <c r="N293" s="154"/>
      <c r="O293" s="154"/>
    </row>
    <row r="294" spans="1:15" s="138" customFormat="1" ht="47.25" x14ac:dyDescent="0.25">
      <c r="A294" s="375" t="s">
        <v>364</v>
      </c>
      <c r="B294" s="191" t="s">
        <v>7</v>
      </c>
      <c r="C294" s="4">
        <v>14</v>
      </c>
      <c r="D294" s="156" t="s">
        <v>165</v>
      </c>
      <c r="E294" s="326">
        <v>630</v>
      </c>
      <c r="F294" s="159">
        <f>'ведом. 2025-2027'!AD215</f>
        <v>864.8</v>
      </c>
      <c r="G294" s="306"/>
      <c r="H294" s="522">
        <f>'ведом. 2025-2027'!AE215</f>
        <v>64.8</v>
      </c>
      <c r="I294" s="522"/>
      <c r="J294" s="522">
        <f>'ведом. 2025-2027'!AF215</f>
        <v>64.8</v>
      </c>
      <c r="K294" s="522"/>
      <c r="L294" s="154"/>
      <c r="N294" s="154"/>
      <c r="O294" s="154"/>
    </row>
    <row r="295" spans="1:15" s="138" customFormat="1" ht="31.5" x14ac:dyDescent="0.25">
      <c r="A295" s="257" t="s">
        <v>167</v>
      </c>
      <c r="B295" s="191" t="s">
        <v>7</v>
      </c>
      <c r="C295" s="4" t="s">
        <v>44</v>
      </c>
      <c r="D295" s="156" t="s">
        <v>168</v>
      </c>
      <c r="E295" s="326"/>
      <c r="F295" s="159">
        <f t="shared" ref="F295:J296" si="58">F296</f>
        <v>18479</v>
      </c>
      <c r="G295" s="306"/>
      <c r="H295" s="522">
        <f t="shared" si="58"/>
        <v>12054</v>
      </c>
      <c r="I295" s="522"/>
      <c r="J295" s="522">
        <f t="shared" si="58"/>
        <v>9984.4</v>
      </c>
      <c r="K295" s="522"/>
      <c r="L295" s="154"/>
      <c r="N295" s="154"/>
      <c r="O295" s="154"/>
    </row>
    <row r="296" spans="1:15" s="138" customFormat="1" x14ac:dyDescent="0.25">
      <c r="A296" s="259" t="s">
        <v>169</v>
      </c>
      <c r="B296" s="191" t="s">
        <v>7</v>
      </c>
      <c r="C296" s="4" t="s">
        <v>44</v>
      </c>
      <c r="D296" s="156" t="s">
        <v>170</v>
      </c>
      <c r="E296" s="326"/>
      <c r="F296" s="159">
        <f>F297</f>
        <v>18479</v>
      </c>
      <c r="G296" s="306"/>
      <c r="H296" s="522">
        <f t="shared" si="58"/>
        <v>12054</v>
      </c>
      <c r="I296" s="522"/>
      <c r="J296" s="522">
        <f t="shared" si="58"/>
        <v>9984.4</v>
      </c>
      <c r="K296" s="522"/>
      <c r="L296" s="154"/>
      <c r="N296" s="154"/>
      <c r="O296" s="154"/>
    </row>
    <row r="297" spans="1:15" s="177" customFormat="1" x14ac:dyDescent="0.25">
      <c r="A297" s="253" t="s">
        <v>120</v>
      </c>
      <c r="B297" s="191" t="s">
        <v>7</v>
      </c>
      <c r="C297" s="4" t="s">
        <v>44</v>
      </c>
      <c r="D297" s="156" t="s">
        <v>170</v>
      </c>
      <c r="E297" s="326">
        <v>200</v>
      </c>
      <c r="F297" s="159">
        <f>F298</f>
        <v>18479</v>
      </c>
      <c r="G297" s="306"/>
      <c r="H297" s="522">
        <f>H298</f>
        <v>12054</v>
      </c>
      <c r="I297" s="522"/>
      <c r="J297" s="522">
        <f>J298</f>
        <v>9984.4</v>
      </c>
      <c r="K297" s="522"/>
      <c r="L297" s="154"/>
      <c r="N297" s="154"/>
      <c r="O297" s="154"/>
    </row>
    <row r="298" spans="1:15" s="177" customFormat="1" ht="31.5" x14ac:dyDescent="0.25">
      <c r="A298" s="253" t="s">
        <v>52</v>
      </c>
      <c r="B298" s="191" t="s">
        <v>7</v>
      </c>
      <c r="C298" s="4" t="s">
        <v>44</v>
      </c>
      <c r="D298" s="156" t="s">
        <v>170</v>
      </c>
      <c r="E298" s="326">
        <v>240</v>
      </c>
      <c r="F298" s="159">
        <f>'ведом. 2025-2027'!AD219</f>
        <v>18479</v>
      </c>
      <c r="G298" s="306"/>
      <c r="H298" s="522">
        <f>'ведом. 2025-2027'!AE219</f>
        <v>12054</v>
      </c>
      <c r="I298" s="522"/>
      <c r="J298" s="522">
        <f>'ведом. 2025-2027'!AF219</f>
        <v>9984.4</v>
      </c>
      <c r="K298" s="522"/>
      <c r="L298" s="154"/>
      <c r="N298" s="154"/>
      <c r="O298" s="154"/>
    </row>
    <row r="299" spans="1:15" s="519" customFormat="1" x14ac:dyDescent="0.25">
      <c r="A299" s="273" t="s">
        <v>332</v>
      </c>
      <c r="B299" s="453" t="s">
        <v>7</v>
      </c>
      <c r="C299" s="453" t="s">
        <v>44</v>
      </c>
      <c r="D299" s="282" t="s">
        <v>137</v>
      </c>
      <c r="E299" s="454"/>
      <c r="F299" s="522">
        <f>F300</f>
        <v>2000</v>
      </c>
      <c r="G299" s="522"/>
      <c r="H299" s="522">
        <f t="shared" ref="H299:J302" si="59">H300</f>
        <v>0</v>
      </c>
      <c r="I299" s="522"/>
      <c r="J299" s="522">
        <f t="shared" si="59"/>
        <v>0</v>
      </c>
      <c r="K299" s="522"/>
      <c r="L299" s="521"/>
      <c r="N299" s="521"/>
      <c r="O299" s="521"/>
    </row>
    <row r="300" spans="1:15" s="519" customFormat="1" x14ac:dyDescent="0.25">
      <c r="A300" s="451" t="s">
        <v>427</v>
      </c>
      <c r="B300" s="453" t="s">
        <v>7</v>
      </c>
      <c r="C300" s="453" t="s">
        <v>44</v>
      </c>
      <c r="D300" s="700" t="s">
        <v>428</v>
      </c>
      <c r="E300" s="454"/>
      <c r="F300" s="522">
        <f>F301</f>
        <v>2000</v>
      </c>
      <c r="G300" s="522"/>
      <c r="H300" s="522">
        <f t="shared" si="59"/>
        <v>0</v>
      </c>
      <c r="I300" s="522"/>
      <c r="J300" s="522">
        <f t="shared" si="59"/>
        <v>0</v>
      </c>
      <c r="K300" s="522"/>
      <c r="L300" s="521"/>
      <c r="N300" s="521"/>
      <c r="O300" s="521"/>
    </row>
    <row r="301" spans="1:15" s="519" customFormat="1" ht="20.25" customHeight="1" x14ac:dyDescent="0.25">
      <c r="A301" s="451" t="s">
        <v>820</v>
      </c>
      <c r="B301" s="453" t="s">
        <v>7</v>
      </c>
      <c r="C301" s="453" t="s">
        <v>44</v>
      </c>
      <c r="D301" s="700" t="s">
        <v>819</v>
      </c>
      <c r="E301" s="454"/>
      <c r="F301" s="522">
        <f>F302</f>
        <v>2000</v>
      </c>
      <c r="G301" s="522"/>
      <c r="H301" s="522">
        <f t="shared" si="59"/>
        <v>0</v>
      </c>
      <c r="I301" s="522"/>
      <c r="J301" s="522">
        <f t="shared" si="59"/>
        <v>0</v>
      </c>
      <c r="K301" s="522"/>
      <c r="L301" s="521"/>
      <c r="N301" s="521"/>
      <c r="O301" s="521"/>
    </row>
    <row r="302" spans="1:15" s="519" customFormat="1" x14ac:dyDescent="0.25">
      <c r="A302" s="451" t="s">
        <v>97</v>
      </c>
      <c r="B302" s="453" t="s">
        <v>7</v>
      </c>
      <c r="C302" s="453" t="s">
        <v>44</v>
      </c>
      <c r="D302" s="700" t="s">
        <v>819</v>
      </c>
      <c r="E302" s="454">
        <v>300</v>
      </c>
      <c r="F302" s="522">
        <f>F303</f>
        <v>2000</v>
      </c>
      <c r="G302" s="522"/>
      <c r="H302" s="522">
        <f t="shared" si="59"/>
        <v>0</v>
      </c>
      <c r="I302" s="522"/>
      <c r="J302" s="522">
        <f t="shared" si="59"/>
        <v>0</v>
      </c>
      <c r="K302" s="522"/>
      <c r="L302" s="521"/>
      <c r="N302" s="521"/>
      <c r="O302" s="521"/>
    </row>
    <row r="303" spans="1:15" s="519" customFormat="1" x14ac:dyDescent="0.25">
      <c r="A303" s="451" t="s">
        <v>40</v>
      </c>
      <c r="B303" s="453" t="s">
        <v>7</v>
      </c>
      <c r="C303" s="453" t="s">
        <v>44</v>
      </c>
      <c r="D303" s="700" t="s">
        <v>819</v>
      </c>
      <c r="E303" s="454">
        <v>320</v>
      </c>
      <c r="F303" s="522">
        <f>'ведом. 2025-2027'!AD224</f>
        <v>2000</v>
      </c>
      <c r="G303" s="522"/>
      <c r="H303" s="522">
        <f>'ведом. 2025-2027'!AF224</f>
        <v>0</v>
      </c>
      <c r="I303" s="522"/>
      <c r="J303" s="522">
        <f>'ведом. 2025-2027'!AH224</f>
        <v>0</v>
      </c>
      <c r="K303" s="522"/>
      <c r="L303" s="521"/>
      <c r="N303" s="521"/>
      <c r="O303" s="521"/>
    </row>
    <row r="304" spans="1:15" s="138" customFormat="1" x14ac:dyDescent="0.25">
      <c r="A304" s="384" t="s">
        <v>45</v>
      </c>
      <c r="B304" s="193" t="s">
        <v>49</v>
      </c>
      <c r="C304" s="188"/>
      <c r="D304" s="280"/>
      <c r="E304" s="330"/>
      <c r="F304" s="161">
        <f t="shared" ref="F304:K304" si="60">F314+F367+F329+F352+F305</f>
        <v>145386.4</v>
      </c>
      <c r="G304" s="347">
        <f t="shared" si="60"/>
        <v>1296</v>
      </c>
      <c r="H304" s="161">
        <f t="shared" si="60"/>
        <v>134237.70000000001</v>
      </c>
      <c r="I304" s="161">
        <f t="shared" si="60"/>
        <v>1296</v>
      </c>
      <c r="J304" s="161">
        <f t="shared" si="60"/>
        <v>135586.9</v>
      </c>
      <c r="K304" s="161">
        <f t="shared" si="60"/>
        <v>1296</v>
      </c>
      <c r="L304" s="154"/>
      <c r="N304" s="154"/>
      <c r="O304" s="154"/>
    </row>
    <row r="305" spans="1:15" s="138" customFormat="1" ht="18.75" x14ac:dyDescent="0.3">
      <c r="A305" s="375" t="s">
        <v>15</v>
      </c>
      <c r="B305" s="11" t="s">
        <v>49</v>
      </c>
      <c r="C305" s="4" t="s">
        <v>5</v>
      </c>
      <c r="D305" s="322"/>
      <c r="E305" s="334"/>
      <c r="F305" s="159">
        <f t="shared" ref="F305:K308" si="61">F306</f>
        <v>919</v>
      </c>
      <c r="G305" s="306">
        <f t="shared" si="61"/>
        <v>919</v>
      </c>
      <c r="H305" s="522">
        <f t="shared" si="61"/>
        <v>919</v>
      </c>
      <c r="I305" s="522">
        <f t="shared" si="61"/>
        <v>919</v>
      </c>
      <c r="J305" s="522">
        <f t="shared" si="61"/>
        <v>919</v>
      </c>
      <c r="K305" s="522">
        <f t="shared" si="61"/>
        <v>919</v>
      </c>
      <c r="L305" s="154"/>
      <c r="N305" s="154"/>
      <c r="O305" s="154"/>
    </row>
    <row r="306" spans="1:15" s="138" customFormat="1" ht="18.75" x14ac:dyDescent="0.3">
      <c r="A306" s="385" t="s">
        <v>238</v>
      </c>
      <c r="B306" s="11" t="s">
        <v>49</v>
      </c>
      <c r="C306" s="4" t="s">
        <v>5</v>
      </c>
      <c r="D306" s="156" t="s">
        <v>138</v>
      </c>
      <c r="E306" s="334"/>
      <c r="F306" s="159">
        <f t="shared" si="61"/>
        <v>919</v>
      </c>
      <c r="G306" s="306">
        <f t="shared" si="61"/>
        <v>919</v>
      </c>
      <c r="H306" s="522">
        <f t="shared" si="61"/>
        <v>919</v>
      </c>
      <c r="I306" s="522">
        <f t="shared" si="61"/>
        <v>919</v>
      </c>
      <c r="J306" s="522">
        <f t="shared" si="61"/>
        <v>919</v>
      </c>
      <c r="K306" s="522">
        <f t="shared" si="61"/>
        <v>919</v>
      </c>
      <c r="L306" s="154"/>
      <c r="N306" s="154"/>
      <c r="O306" s="154"/>
    </row>
    <row r="307" spans="1:15" s="138" customFormat="1" ht="31.5" x14ac:dyDescent="0.3">
      <c r="A307" s="271" t="s">
        <v>424</v>
      </c>
      <c r="B307" s="11" t="s">
        <v>49</v>
      </c>
      <c r="C307" s="4" t="s">
        <v>5</v>
      </c>
      <c r="D307" s="156" t="s">
        <v>239</v>
      </c>
      <c r="E307" s="334"/>
      <c r="F307" s="159">
        <f t="shared" si="61"/>
        <v>919</v>
      </c>
      <c r="G307" s="306">
        <f t="shared" si="61"/>
        <v>919</v>
      </c>
      <c r="H307" s="522">
        <f t="shared" si="61"/>
        <v>919</v>
      </c>
      <c r="I307" s="522">
        <f t="shared" si="61"/>
        <v>919</v>
      </c>
      <c r="J307" s="522">
        <f t="shared" si="61"/>
        <v>919</v>
      </c>
      <c r="K307" s="522">
        <f t="shared" si="61"/>
        <v>919</v>
      </c>
      <c r="L307" s="154"/>
      <c r="N307" s="154"/>
      <c r="O307" s="154"/>
    </row>
    <row r="308" spans="1:15" s="138" customFormat="1" ht="18.75" x14ac:dyDescent="0.3">
      <c r="A308" s="255" t="s">
        <v>526</v>
      </c>
      <c r="B308" s="11" t="s">
        <v>49</v>
      </c>
      <c r="C308" s="4" t="s">
        <v>5</v>
      </c>
      <c r="D308" s="156" t="s">
        <v>240</v>
      </c>
      <c r="E308" s="334"/>
      <c r="F308" s="159">
        <f t="shared" si="61"/>
        <v>919</v>
      </c>
      <c r="G308" s="306">
        <f t="shared" si="61"/>
        <v>919</v>
      </c>
      <c r="H308" s="522">
        <f t="shared" si="61"/>
        <v>919</v>
      </c>
      <c r="I308" s="522">
        <f t="shared" si="61"/>
        <v>919</v>
      </c>
      <c r="J308" s="522">
        <f t="shared" si="61"/>
        <v>919</v>
      </c>
      <c r="K308" s="522">
        <f t="shared" si="61"/>
        <v>919</v>
      </c>
      <c r="L308" s="154"/>
      <c r="N308" s="154"/>
      <c r="O308" s="154"/>
    </row>
    <row r="309" spans="1:15" s="138" customFormat="1" ht="31.5" x14ac:dyDescent="0.25">
      <c r="A309" s="255" t="s">
        <v>422</v>
      </c>
      <c r="B309" s="11" t="s">
        <v>49</v>
      </c>
      <c r="C309" s="4" t="s">
        <v>5</v>
      </c>
      <c r="D309" s="156" t="s">
        <v>241</v>
      </c>
      <c r="E309" s="326"/>
      <c r="F309" s="159">
        <f>F312+F310</f>
        <v>919</v>
      </c>
      <c r="G309" s="522">
        <f t="shared" ref="G309:K309" si="62">G312+G310</f>
        <v>919</v>
      </c>
      <c r="H309" s="522">
        <f t="shared" si="62"/>
        <v>919</v>
      </c>
      <c r="I309" s="522">
        <f t="shared" si="62"/>
        <v>919</v>
      </c>
      <c r="J309" s="522">
        <f t="shared" si="62"/>
        <v>919</v>
      </c>
      <c r="K309" s="522">
        <f t="shared" si="62"/>
        <v>919</v>
      </c>
      <c r="L309" s="154"/>
      <c r="N309" s="154"/>
      <c r="O309" s="154"/>
    </row>
    <row r="310" spans="1:15" s="519" customFormat="1" ht="47.25" x14ac:dyDescent="0.25">
      <c r="A310" s="451" t="s">
        <v>41</v>
      </c>
      <c r="B310" s="474" t="s">
        <v>49</v>
      </c>
      <c r="C310" s="453" t="s">
        <v>5</v>
      </c>
      <c r="D310" s="542" t="s">
        <v>241</v>
      </c>
      <c r="E310" s="454">
        <v>100</v>
      </c>
      <c r="F310" s="522">
        <f>F311</f>
        <v>307</v>
      </c>
      <c r="G310" s="522">
        <f t="shared" ref="G310:J310" si="63">G311</f>
        <v>307</v>
      </c>
      <c r="H310" s="522">
        <f t="shared" si="63"/>
        <v>0</v>
      </c>
      <c r="I310" s="522"/>
      <c r="J310" s="522">
        <f t="shared" si="63"/>
        <v>0</v>
      </c>
      <c r="K310" s="522"/>
      <c r="L310" s="521"/>
      <c r="N310" s="521"/>
      <c r="O310" s="521"/>
    </row>
    <row r="311" spans="1:15" s="519" customFormat="1" x14ac:dyDescent="0.25">
      <c r="A311" s="451" t="s">
        <v>96</v>
      </c>
      <c r="B311" s="474" t="s">
        <v>49</v>
      </c>
      <c r="C311" s="453" t="s">
        <v>5</v>
      </c>
      <c r="D311" s="542" t="s">
        <v>241</v>
      </c>
      <c r="E311" s="454">
        <v>120</v>
      </c>
      <c r="F311" s="522">
        <f>'ведом. 2025-2027'!AD813</f>
        <v>307</v>
      </c>
      <c r="G311" s="524">
        <f>F311</f>
        <v>307</v>
      </c>
      <c r="H311" s="522">
        <f>'ведом. 2025-2027'!AE813</f>
        <v>0</v>
      </c>
      <c r="I311" s="522"/>
      <c r="J311" s="522">
        <f>'ведом. 2025-2027'!AF813</f>
        <v>0</v>
      </c>
      <c r="K311" s="522"/>
      <c r="L311" s="521"/>
      <c r="N311" s="521"/>
      <c r="O311" s="521"/>
    </row>
    <row r="312" spans="1:15" s="138" customFormat="1" x14ac:dyDescent="0.25">
      <c r="A312" s="375" t="s">
        <v>120</v>
      </c>
      <c r="B312" s="11" t="s">
        <v>49</v>
      </c>
      <c r="C312" s="4" t="s">
        <v>5</v>
      </c>
      <c r="D312" s="156" t="s">
        <v>241</v>
      </c>
      <c r="E312" s="325">
        <v>200</v>
      </c>
      <c r="F312" s="159">
        <f t="shared" ref="F312:K312" si="64">F313</f>
        <v>612</v>
      </c>
      <c r="G312" s="306">
        <f t="shared" si="64"/>
        <v>612</v>
      </c>
      <c r="H312" s="522">
        <f t="shared" si="64"/>
        <v>919</v>
      </c>
      <c r="I312" s="522">
        <f t="shared" si="64"/>
        <v>919</v>
      </c>
      <c r="J312" s="522">
        <f t="shared" si="64"/>
        <v>919</v>
      </c>
      <c r="K312" s="522">
        <f t="shared" si="64"/>
        <v>919</v>
      </c>
      <c r="L312" s="154"/>
      <c r="N312" s="154"/>
      <c r="O312" s="154"/>
    </row>
    <row r="313" spans="1:15" s="138" customFormat="1" ht="31.5" x14ac:dyDescent="0.25">
      <c r="A313" s="375" t="s">
        <v>52</v>
      </c>
      <c r="B313" s="11" t="s">
        <v>49</v>
      </c>
      <c r="C313" s="4" t="s">
        <v>5</v>
      </c>
      <c r="D313" s="156" t="s">
        <v>241</v>
      </c>
      <c r="E313" s="326">
        <v>240</v>
      </c>
      <c r="F313" s="159">
        <f>'ведом. 2025-2027'!AD815</f>
        <v>612</v>
      </c>
      <c r="G313" s="306">
        <f>F313</f>
        <v>612</v>
      </c>
      <c r="H313" s="522">
        <f>'ведом. 2025-2027'!AE815</f>
        <v>919</v>
      </c>
      <c r="I313" s="522">
        <f>H313</f>
        <v>919</v>
      </c>
      <c r="J313" s="522">
        <f>'ведом. 2025-2027'!AF815</f>
        <v>919</v>
      </c>
      <c r="K313" s="522">
        <f>J313</f>
        <v>919</v>
      </c>
      <c r="L313" s="154"/>
      <c r="N313" s="154"/>
      <c r="O313" s="154"/>
    </row>
    <row r="314" spans="1:15" s="138" customFormat="1" x14ac:dyDescent="0.25">
      <c r="A314" s="375" t="s">
        <v>71</v>
      </c>
      <c r="B314" s="191" t="s">
        <v>49</v>
      </c>
      <c r="C314" s="4" t="s">
        <v>16</v>
      </c>
      <c r="D314" s="26"/>
      <c r="E314" s="325"/>
      <c r="F314" s="159">
        <f>F315+F322</f>
        <v>34483.700000000004</v>
      </c>
      <c r="G314" s="306"/>
      <c r="H314" s="522">
        <f>H315+H322</f>
        <v>30338.7</v>
      </c>
      <c r="I314" s="522"/>
      <c r="J314" s="522">
        <f>J315+J322</f>
        <v>30337.899999999998</v>
      </c>
      <c r="K314" s="522"/>
      <c r="L314" s="154"/>
      <c r="N314" s="154"/>
      <c r="O314" s="154"/>
    </row>
    <row r="315" spans="1:15" s="138" customFormat="1" x14ac:dyDescent="0.25">
      <c r="A315" s="255" t="s">
        <v>186</v>
      </c>
      <c r="B315" s="192" t="s">
        <v>49</v>
      </c>
      <c r="C315" s="186" t="s">
        <v>16</v>
      </c>
      <c r="D315" s="156" t="s">
        <v>112</v>
      </c>
      <c r="E315" s="327"/>
      <c r="F315" s="159">
        <f t="shared" ref="F315:J320" si="65">F316</f>
        <v>34482.9</v>
      </c>
      <c r="G315" s="306"/>
      <c r="H315" s="522">
        <f t="shared" si="65"/>
        <v>30337.3</v>
      </c>
      <c r="I315" s="522"/>
      <c r="J315" s="522">
        <f t="shared" si="65"/>
        <v>30337.3</v>
      </c>
      <c r="K315" s="522"/>
      <c r="L315" s="154"/>
      <c r="N315" s="154"/>
      <c r="O315" s="154"/>
    </row>
    <row r="316" spans="1:15" s="138" customFormat="1" x14ac:dyDescent="0.25">
      <c r="A316" s="255" t="s">
        <v>189</v>
      </c>
      <c r="B316" s="192" t="s">
        <v>49</v>
      </c>
      <c r="C316" s="186" t="s">
        <v>16</v>
      </c>
      <c r="D316" s="156" t="s">
        <v>190</v>
      </c>
      <c r="E316" s="327"/>
      <c r="F316" s="159">
        <f t="shared" si="65"/>
        <v>34482.9</v>
      </c>
      <c r="G316" s="306"/>
      <c r="H316" s="522">
        <f t="shared" si="65"/>
        <v>30337.3</v>
      </c>
      <c r="I316" s="522"/>
      <c r="J316" s="522">
        <f t="shared" si="65"/>
        <v>30337.3</v>
      </c>
      <c r="K316" s="522"/>
      <c r="L316" s="154"/>
      <c r="N316" s="154"/>
      <c r="O316" s="154"/>
    </row>
    <row r="317" spans="1:15" s="138" customFormat="1" ht="31.5" x14ac:dyDescent="0.25">
      <c r="A317" s="255" t="s">
        <v>191</v>
      </c>
      <c r="B317" s="192" t="s">
        <v>49</v>
      </c>
      <c r="C317" s="186" t="s">
        <v>16</v>
      </c>
      <c r="D317" s="156" t="s">
        <v>192</v>
      </c>
      <c r="E317" s="327"/>
      <c r="F317" s="159">
        <f t="shared" si="65"/>
        <v>34482.9</v>
      </c>
      <c r="G317" s="306"/>
      <c r="H317" s="522">
        <f t="shared" si="65"/>
        <v>30337.3</v>
      </c>
      <c r="I317" s="522"/>
      <c r="J317" s="522">
        <f t="shared" si="65"/>
        <v>30337.3</v>
      </c>
      <c r="K317" s="522"/>
      <c r="L317" s="154"/>
      <c r="N317" s="154"/>
      <c r="O317" s="154"/>
    </row>
    <row r="318" spans="1:15" s="138" customFormat="1" ht="31.5" x14ac:dyDescent="0.25">
      <c r="A318" s="278" t="s">
        <v>203</v>
      </c>
      <c r="B318" s="192" t="s">
        <v>49</v>
      </c>
      <c r="C318" s="186" t="s">
        <v>16</v>
      </c>
      <c r="D318" s="281" t="s">
        <v>204</v>
      </c>
      <c r="E318" s="327"/>
      <c r="F318" s="159">
        <f t="shared" si="65"/>
        <v>34482.9</v>
      </c>
      <c r="G318" s="306"/>
      <c r="H318" s="522">
        <f t="shared" si="65"/>
        <v>30337.3</v>
      </c>
      <c r="I318" s="522"/>
      <c r="J318" s="522">
        <f t="shared" si="65"/>
        <v>30337.3</v>
      </c>
      <c r="K318" s="522"/>
      <c r="L318" s="154"/>
      <c r="N318" s="154"/>
      <c r="O318" s="154"/>
    </row>
    <row r="319" spans="1:15" s="138" customFormat="1" ht="47.25" x14ac:dyDescent="0.25">
      <c r="A319" s="258" t="s">
        <v>369</v>
      </c>
      <c r="B319" s="192" t="s">
        <v>49</v>
      </c>
      <c r="C319" s="186" t="s">
        <v>16</v>
      </c>
      <c r="D319" s="281" t="s">
        <v>316</v>
      </c>
      <c r="E319" s="327"/>
      <c r="F319" s="159">
        <f t="shared" si="65"/>
        <v>34482.9</v>
      </c>
      <c r="G319" s="306"/>
      <c r="H319" s="522">
        <f t="shared" si="65"/>
        <v>30337.3</v>
      </c>
      <c r="I319" s="522"/>
      <c r="J319" s="522">
        <f t="shared" si="65"/>
        <v>30337.3</v>
      </c>
      <c r="K319" s="522"/>
      <c r="L319" s="154"/>
      <c r="N319" s="154"/>
      <c r="O319" s="154"/>
    </row>
    <row r="320" spans="1:15" s="138" customFormat="1" ht="31.5" x14ac:dyDescent="0.25">
      <c r="A320" s="375" t="s">
        <v>60</v>
      </c>
      <c r="B320" s="192" t="s">
        <v>49</v>
      </c>
      <c r="C320" s="186" t="s">
        <v>16</v>
      </c>
      <c r="D320" s="281" t="s">
        <v>316</v>
      </c>
      <c r="E320" s="327">
        <v>600</v>
      </c>
      <c r="F320" s="159">
        <f t="shared" si="65"/>
        <v>34482.9</v>
      </c>
      <c r="G320" s="306"/>
      <c r="H320" s="522">
        <f t="shared" si="65"/>
        <v>30337.3</v>
      </c>
      <c r="I320" s="522"/>
      <c r="J320" s="522">
        <f t="shared" si="65"/>
        <v>30337.3</v>
      </c>
      <c r="K320" s="522"/>
      <c r="L320" s="154"/>
      <c r="N320" s="154"/>
      <c r="O320" s="154"/>
    </row>
    <row r="321" spans="1:15" s="138" customFormat="1" x14ac:dyDescent="0.25">
      <c r="A321" s="375" t="s">
        <v>61</v>
      </c>
      <c r="B321" s="192" t="s">
        <v>49</v>
      </c>
      <c r="C321" s="186" t="s">
        <v>16</v>
      </c>
      <c r="D321" s="281" t="s">
        <v>316</v>
      </c>
      <c r="E321" s="327">
        <v>610</v>
      </c>
      <c r="F321" s="159">
        <f>'ведом. 2025-2027'!AD233</f>
        <v>34482.9</v>
      </c>
      <c r="G321" s="306"/>
      <c r="H321" s="522">
        <f>'ведом. 2025-2027'!AE233</f>
        <v>30337.3</v>
      </c>
      <c r="I321" s="522"/>
      <c r="J321" s="522">
        <f>'ведом. 2025-2027'!AF233</f>
        <v>30337.3</v>
      </c>
      <c r="K321" s="522"/>
      <c r="L321" s="154"/>
      <c r="N321" s="154"/>
      <c r="O321" s="154"/>
    </row>
    <row r="322" spans="1:15" s="138" customFormat="1" ht="31.5" x14ac:dyDescent="0.25">
      <c r="A322" s="255" t="s">
        <v>226</v>
      </c>
      <c r="B322" s="191" t="s">
        <v>49</v>
      </c>
      <c r="C322" s="4" t="s">
        <v>16</v>
      </c>
      <c r="D322" s="156" t="s">
        <v>227</v>
      </c>
      <c r="E322" s="325"/>
      <c r="F322" s="159">
        <f t="shared" ref="F322:J326" si="66">F323</f>
        <v>0.79999999999999993</v>
      </c>
      <c r="G322" s="306"/>
      <c r="H322" s="522">
        <f t="shared" si="66"/>
        <v>1.4000000000000001</v>
      </c>
      <c r="I322" s="522"/>
      <c r="J322" s="522">
        <f t="shared" si="66"/>
        <v>0.6</v>
      </c>
      <c r="K322" s="522"/>
      <c r="L322" s="154"/>
      <c r="N322" s="154"/>
      <c r="O322" s="154"/>
    </row>
    <row r="323" spans="1:15" s="138" customFormat="1" x14ac:dyDescent="0.25">
      <c r="A323" s="255" t="s">
        <v>228</v>
      </c>
      <c r="B323" s="191" t="s">
        <v>49</v>
      </c>
      <c r="C323" s="4" t="s">
        <v>16</v>
      </c>
      <c r="D323" s="156" t="s">
        <v>229</v>
      </c>
      <c r="E323" s="326"/>
      <c r="F323" s="159">
        <f t="shared" si="66"/>
        <v>0.79999999999999993</v>
      </c>
      <c r="G323" s="306"/>
      <c r="H323" s="522">
        <f t="shared" si="66"/>
        <v>1.4000000000000001</v>
      </c>
      <c r="I323" s="522"/>
      <c r="J323" s="522">
        <f t="shared" si="66"/>
        <v>0.6</v>
      </c>
      <c r="K323" s="522"/>
      <c r="L323" s="154"/>
      <c r="N323" s="154"/>
      <c r="O323" s="154"/>
    </row>
    <row r="324" spans="1:15" s="138" customFormat="1" x14ac:dyDescent="0.25">
      <c r="A324" s="257" t="s">
        <v>426</v>
      </c>
      <c r="B324" s="191" t="s">
        <v>49</v>
      </c>
      <c r="C324" s="4" t="s">
        <v>16</v>
      </c>
      <c r="D324" s="156" t="s">
        <v>338</v>
      </c>
      <c r="E324" s="326"/>
      <c r="F324" s="159">
        <f t="shared" si="66"/>
        <v>0.79999999999999993</v>
      </c>
      <c r="G324" s="306"/>
      <c r="H324" s="522">
        <f t="shared" si="66"/>
        <v>1.4000000000000001</v>
      </c>
      <c r="I324" s="522"/>
      <c r="J324" s="522">
        <f t="shared" si="66"/>
        <v>0.6</v>
      </c>
      <c r="K324" s="522"/>
      <c r="L324" s="154"/>
      <c r="N324" s="154"/>
      <c r="O324" s="154"/>
    </row>
    <row r="325" spans="1:15" s="138" customFormat="1" ht="47.25" x14ac:dyDescent="0.25">
      <c r="A325" s="256" t="s">
        <v>230</v>
      </c>
      <c r="B325" s="191" t="s">
        <v>49</v>
      </c>
      <c r="C325" s="4" t="s">
        <v>16</v>
      </c>
      <c r="D325" s="156" t="s">
        <v>339</v>
      </c>
      <c r="E325" s="326"/>
      <c r="F325" s="159">
        <f>F326</f>
        <v>0.79999999999999993</v>
      </c>
      <c r="G325" s="522"/>
      <c r="H325" s="522">
        <f t="shared" si="66"/>
        <v>1.4000000000000001</v>
      </c>
      <c r="I325" s="522"/>
      <c r="J325" s="522">
        <f t="shared" si="66"/>
        <v>0.6</v>
      </c>
      <c r="K325" s="522"/>
      <c r="L325" s="154"/>
      <c r="N325" s="154"/>
      <c r="O325" s="154"/>
    </row>
    <row r="326" spans="1:15" s="138" customFormat="1" ht="47.25" x14ac:dyDescent="0.25">
      <c r="A326" s="256" t="s">
        <v>319</v>
      </c>
      <c r="B326" s="191" t="s">
        <v>49</v>
      </c>
      <c r="C326" s="4" t="s">
        <v>16</v>
      </c>
      <c r="D326" s="156" t="s">
        <v>340</v>
      </c>
      <c r="E326" s="326"/>
      <c r="F326" s="159">
        <f t="shared" si="66"/>
        <v>0.79999999999999993</v>
      </c>
      <c r="G326" s="306"/>
      <c r="H326" s="522">
        <f t="shared" si="66"/>
        <v>1.4000000000000001</v>
      </c>
      <c r="I326" s="522"/>
      <c r="J326" s="522">
        <f t="shared" si="66"/>
        <v>0.6</v>
      </c>
      <c r="K326" s="522"/>
      <c r="L326" s="154"/>
      <c r="N326" s="154"/>
      <c r="O326" s="154"/>
    </row>
    <row r="327" spans="1:15" s="138" customFormat="1" x14ac:dyDescent="0.25">
      <c r="A327" s="375" t="s">
        <v>120</v>
      </c>
      <c r="B327" s="191" t="s">
        <v>49</v>
      </c>
      <c r="C327" s="4" t="s">
        <v>16</v>
      </c>
      <c r="D327" s="156" t="s">
        <v>340</v>
      </c>
      <c r="E327" s="326">
        <v>200</v>
      </c>
      <c r="F327" s="159">
        <f>'ведом. 2025-2027'!AD240</f>
        <v>0.79999999999999993</v>
      </c>
      <c r="G327" s="306"/>
      <c r="H327" s="522">
        <f>'ведом. 2025-2027'!AE240</f>
        <v>1.4000000000000001</v>
      </c>
      <c r="I327" s="522"/>
      <c r="J327" s="522">
        <f>J328</f>
        <v>0.6</v>
      </c>
      <c r="K327" s="522"/>
      <c r="L327" s="154"/>
      <c r="N327" s="154"/>
      <c r="O327" s="154"/>
    </row>
    <row r="328" spans="1:15" s="138" customFormat="1" ht="31.5" x14ac:dyDescent="0.25">
      <c r="A328" s="375" t="s">
        <v>52</v>
      </c>
      <c r="B328" s="192" t="s">
        <v>49</v>
      </c>
      <c r="C328" s="186" t="s">
        <v>16</v>
      </c>
      <c r="D328" s="156" t="s">
        <v>340</v>
      </c>
      <c r="E328" s="326">
        <v>240</v>
      </c>
      <c r="F328" s="159">
        <f>'ведом. 2025-2027'!AD240</f>
        <v>0.79999999999999993</v>
      </c>
      <c r="G328" s="306"/>
      <c r="H328" s="522">
        <f>'ведом. 2025-2027'!AE240</f>
        <v>1.4000000000000001</v>
      </c>
      <c r="I328" s="522"/>
      <c r="J328" s="522">
        <f>'ведом. 2025-2027'!AF240</f>
        <v>0.6</v>
      </c>
      <c r="K328" s="522"/>
      <c r="L328" s="154"/>
      <c r="N328" s="154"/>
      <c r="O328" s="154"/>
    </row>
    <row r="329" spans="1:15" s="138" customFormat="1" x14ac:dyDescent="0.25">
      <c r="A329" s="375" t="s">
        <v>93</v>
      </c>
      <c r="B329" s="191" t="s">
        <v>49</v>
      </c>
      <c r="C329" s="4" t="s">
        <v>22</v>
      </c>
      <c r="D329" s="279"/>
      <c r="E329" s="326"/>
      <c r="F329" s="159">
        <f>F330+F346</f>
        <v>105177</v>
      </c>
      <c r="G329" s="306"/>
      <c r="H329" s="522">
        <f>H330+H346</f>
        <v>99600</v>
      </c>
      <c r="I329" s="522"/>
      <c r="J329" s="522">
        <f>J330+J346</f>
        <v>103953</v>
      </c>
      <c r="K329" s="522"/>
      <c r="L329" s="154"/>
      <c r="N329" s="154"/>
      <c r="O329" s="154"/>
    </row>
    <row r="330" spans="1:15" s="138" customFormat="1" ht="31.5" x14ac:dyDescent="0.25">
      <c r="A330" s="255" t="s">
        <v>226</v>
      </c>
      <c r="B330" s="191" t="s">
        <v>49</v>
      </c>
      <c r="C330" s="4" t="s">
        <v>22</v>
      </c>
      <c r="D330" s="156" t="s">
        <v>227</v>
      </c>
      <c r="E330" s="326"/>
      <c r="F330" s="159">
        <f>F331+F341+F336</f>
        <v>97889</v>
      </c>
      <c r="G330" s="522"/>
      <c r="H330" s="522">
        <f>H331+H341+H336</f>
        <v>92020</v>
      </c>
      <c r="I330" s="522"/>
      <c r="J330" s="522">
        <f>J331+J341+J336</f>
        <v>96070</v>
      </c>
      <c r="K330" s="522"/>
      <c r="L330" s="154"/>
      <c r="N330" s="154"/>
      <c r="O330" s="154"/>
    </row>
    <row r="331" spans="1:15" s="138" customFormat="1" x14ac:dyDescent="0.25">
      <c r="A331" s="255" t="s">
        <v>231</v>
      </c>
      <c r="B331" s="191" t="s">
        <v>49</v>
      </c>
      <c r="C331" s="4" t="s">
        <v>22</v>
      </c>
      <c r="D331" s="156" t="s">
        <v>232</v>
      </c>
      <c r="E331" s="326"/>
      <c r="F331" s="159">
        <f>F332</f>
        <v>24903</v>
      </c>
      <c r="G331" s="522"/>
      <c r="H331" s="522">
        <f t="shared" ref="H331:J331" si="67">H332</f>
        <v>39565</v>
      </c>
      <c r="I331" s="522"/>
      <c r="J331" s="522">
        <f t="shared" si="67"/>
        <v>41464</v>
      </c>
      <c r="K331" s="522"/>
      <c r="L331" s="154"/>
      <c r="N331" s="154"/>
      <c r="O331" s="154"/>
    </row>
    <row r="332" spans="1:15" s="138" customFormat="1" ht="31.5" x14ac:dyDescent="0.25">
      <c r="A332" s="451" t="s">
        <v>715</v>
      </c>
      <c r="B332" s="453" t="s">
        <v>49</v>
      </c>
      <c r="C332" s="454" t="s">
        <v>22</v>
      </c>
      <c r="D332" s="458" t="s">
        <v>502</v>
      </c>
      <c r="E332" s="460"/>
      <c r="F332" s="159">
        <f>F333</f>
        <v>24903</v>
      </c>
      <c r="G332" s="306"/>
      <c r="H332" s="522">
        <f>H333</f>
        <v>39565</v>
      </c>
      <c r="I332" s="522"/>
      <c r="J332" s="522">
        <f>J333</f>
        <v>41464</v>
      </c>
      <c r="K332" s="522"/>
      <c r="L332" s="154"/>
      <c r="N332" s="154"/>
      <c r="O332" s="154"/>
    </row>
    <row r="333" spans="1:15" s="138" customFormat="1" ht="31.5" x14ac:dyDescent="0.25">
      <c r="A333" s="451" t="s">
        <v>681</v>
      </c>
      <c r="B333" s="453" t="s">
        <v>49</v>
      </c>
      <c r="C333" s="454" t="s">
        <v>22</v>
      </c>
      <c r="D333" s="458" t="s">
        <v>714</v>
      </c>
      <c r="E333" s="460"/>
      <c r="F333" s="159">
        <f>F334</f>
        <v>24903</v>
      </c>
      <c r="G333" s="306"/>
      <c r="H333" s="522">
        <f>H334</f>
        <v>39565</v>
      </c>
      <c r="I333" s="522"/>
      <c r="J333" s="522">
        <f>J334</f>
        <v>41464</v>
      </c>
      <c r="K333" s="522"/>
      <c r="L333" s="154"/>
      <c r="N333" s="154"/>
      <c r="O333" s="154"/>
    </row>
    <row r="334" spans="1:15" s="138" customFormat="1" x14ac:dyDescent="0.25">
      <c r="A334" s="451" t="s">
        <v>120</v>
      </c>
      <c r="B334" s="472" t="s">
        <v>49</v>
      </c>
      <c r="C334" s="473" t="s">
        <v>22</v>
      </c>
      <c r="D334" s="458" t="s">
        <v>714</v>
      </c>
      <c r="E334" s="460">
        <v>200</v>
      </c>
      <c r="F334" s="159">
        <f>F335</f>
        <v>24903</v>
      </c>
      <c r="G334" s="522"/>
      <c r="H334" s="522">
        <f t="shared" ref="H334:J334" si="68">H335</f>
        <v>39565</v>
      </c>
      <c r="I334" s="522"/>
      <c r="J334" s="522">
        <f t="shared" si="68"/>
        <v>41464</v>
      </c>
      <c r="K334" s="522"/>
      <c r="L334" s="154"/>
      <c r="N334" s="154"/>
      <c r="O334" s="154"/>
    </row>
    <row r="335" spans="1:15" s="138" customFormat="1" ht="31.5" x14ac:dyDescent="0.25">
      <c r="A335" s="451" t="s">
        <v>52</v>
      </c>
      <c r="B335" s="472" t="s">
        <v>49</v>
      </c>
      <c r="C335" s="473" t="s">
        <v>22</v>
      </c>
      <c r="D335" s="458" t="s">
        <v>714</v>
      </c>
      <c r="E335" s="460">
        <v>240</v>
      </c>
      <c r="F335" s="159">
        <f>'ведом. 2025-2027'!AD822</f>
        <v>24903</v>
      </c>
      <c r="G335" s="306"/>
      <c r="H335" s="522">
        <f>'ведом. 2025-2027'!AE822</f>
        <v>39565</v>
      </c>
      <c r="I335" s="522"/>
      <c r="J335" s="522">
        <f>'ведом. 2025-2027'!AF822</f>
        <v>41464</v>
      </c>
      <c r="K335" s="522"/>
      <c r="L335" s="154"/>
      <c r="N335" s="154"/>
      <c r="O335" s="154"/>
    </row>
    <row r="336" spans="1:15" s="519" customFormat="1" x14ac:dyDescent="0.25">
      <c r="A336" s="465" t="s">
        <v>710</v>
      </c>
      <c r="B336" s="472" t="s">
        <v>49</v>
      </c>
      <c r="C336" s="473" t="s">
        <v>22</v>
      </c>
      <c r="D336" s="458" t="s">
        <v>709</v>
      </c>
      <c r="E336" s="460"/>
      <c r="F336" s="522">
        <f>F337</f>
        <v>19986</v>
      </c>
      <c r="G336" s="522"/>
      <c r="H336" s="522">
        <f t="shared" ref="H336:J339" si="69">H337</f>
        <v>16090</v>
      </c>
      <c r="I336" s="522"/>
      <c r="J336" s="522">
        <f t="shared" si="69"/>
        <v>16750</v>
      </c>
      <c r="K336" s="522"/>
      <c r="L336" s="521"/>
      <c r="N336" s="521"/>
      <c r="O336" s="521"/>
    </row>
    <row r="337" spans="1:15" s="519" customFormat="1" x14ac:dyDescent="0.25">
      <c r="A337" s="451" t="s">
        <v>711</v>
      </c>
      <c r="B337" s="472" t="s">
        <v>49</v>
      </c>
      <c r="C337" s="473" t="s">
        <v>22</v>
      </c>
      <c r="D337" s="458" t="s">
        <v>712</v>
      </c>
      <c r="E337" s="460"/>
      <c r="F337" s="522">
        <f>F338</f>
        <v>19986</v>
      </c>
      <c r="G337" s="522"/>
      <c r="H337" s="522">
        <f t="shared" si="69"/>
        <v>16090</v>
      </c>
      <c r="I337" s="522"/>
      <c r="J337" s="522">
        <f t="shared" si="69"/>
        <v>16750</v>
      </c>
      <c r="K337" s="522"/>
      <c r="L337" s="521"/>
      <c r="N337" s="521"/>
      <c r="O337" s="521"/>
    </row>
    <row r="338" spans="1:15" s="519" customFormat="1" x14ac:dyDescent="0.25">
      <c r="A338" s="451" t="s">
        <v>344</v>
      </c>
      <c r="B338" s="472" t="s">
        <v>49</v>
      </c>
      <c r="C338" s="473" t="s">
        <v>22</v>
      </c>
      <c r="D338" s="458" t="s">
        <v>713</v>
      </c>
      <c r="E338" s="460"/>
      <c r="F338" s="522">
        <f>F339</f>
        <v>19986</v>
      </c>
      <c r="G338" s="522"/>
      <c r="H338" s="522">
        <f t="shared" si="69"/>
        <v>16090</v>
      </c>
      <c r="I338" s="522"/>
      <c r="J338" s="522">
        <f t="shared" si="69"/>
        <v>16750</v>
      </c>
      <c r="K338" s="522"/>
      <c r="L338" s="521"/>
      <c r="N338" s="521"/>
      <c r="O338" s="521"/>
    </row>
    <row r="339" spans="1:15" s="519" customFormat="1" x14ac:dyDescent="0.25">
      <c r="A339" s="451" t="s">
        <v>120</v>
      </c>
      <c r="B339" s="472" t="s">
        <v>49</v>
      </c>
      <c r="C339" s="473" t="s">
        <v>22</v>
      </c>
      <c r="D339" s="458" t="s">
        <v>713</v>
      </c>
      <c r="E339" s="460">
        <v>200</v>
      </c>
      <c r="F339" s="522">
        <f>F340</f>
        <v>19986</v>
      </c>
      <c r="G339" s="522"/>
      <c r="H339" s="522">
        <f t="shared" si="69"/>
        <v>16090</v>
      </c>
      <c r="I339" s="522"/>
      <c r="J339" s="522">
        <f t="shared" si="69"/>
        <v>16750</v>
      </c>
      <c r="K339" s="522"/>
      <c r="L339" s="521"/>
      <c r="N339" s="521"/>
      <c r="O339" s="521"/>
    </row>
    <row r="340" spans="1:15" s="519" customFormat="1" ht="31.5" x14ac:dyDescent="0.25">
      <c r="A340" s="451" t="s">
        <v>52</v>
      </c>
      <c r="B340" s="472" t="s">
        <v>49</v>
      </c>
      <c r="C340" s="473" t="s">
        <v>22</v>
      </c>
      <c r="D340" s="458" t="s">
        <v>713</v>
      </c>
      <c r="E340" s="460">
        <v>240</v>
      </c>
      <c r="F340" s="522">
        <f>'ведом. 2025-2027'!AD827</f>
        <v>19986</v>
      </c>
      <c r="G340" s="524"/>
      <c r="H340" s="522">
        <f>'ведом. 2025-2027'!AE827</f>
        <v>16090</v>
      </c>
      <c r="I340" s="522"/>
      <c r="J340" s="522">
        <f>'ведом. 2025-2027'!AF827</f>
        <v>16750</v>
      </c>
      <c r="K340" s="522"/>
      <c r="L340" s="521"/>
      <c r="N340" s="521"/>
      <c r="O340" s="521"/>
    </row>
    <row r="341" spans="1:15" s="138" customFormat="1" x14ac:dyDescent="0.25">
      <c r="A341" s="255" t="s">
        <v>48</v>
      </c>
      <c r="B341" s="194" t="s">
        <v>49</v>
      </c>
      <c r="C341" s="185" t="s">
        <v>22</v>
      </c>
      <c r="D341" s="156" t="s">
        <v>341</v>
      </c>
      <c r="E341" s="325"/>
      <c r="F341" s="159">
        <f>F342</f>
        <v>53000</v>
      </c>
      <c r="G341" s="306"/>
      <c r="H341" s="522">
        <f>H342</f>
        <v>36365</v>
      </c>
      <c r="I341" s="522"/>
      <c r="J341" s="522">
        <f>J342</f>
        <v>37856</v>
      </c>
      <c r="K341" s="522"/>
      <c r="L341" s="154"/>
      <c r="N341" s="154"/>
      <c r="O341" s="154"/>
    </row>
    <row r="342" spans="1:15" s="138" customFormat="1" ht="31.5" x14ac:dyDescent="0.25">
      <c r="A342" s="255" t="s">
        <v>191</v>
      </c>
      <c r="B342" s="194" t="s">
        <v>49</v>
      </c>
      <c r="C342" s="185" t="s">
        <v>22</v>
      </c>
      <c r="D342" s="156" t="s">
        <v>342</v>
      </c>
      <c r="E342" s="326"/>
      <c r="F342" s="159">
        <f>F343</f>
        <v>53000</v>
      </c>
      <c r="G342" s="306"/>
      <c r="H342" s="522">
        <f>H343</f>
        <v>36365</v>
      </c>
      <c r="I342" s="522"/>
      <c r="J342" s="522">
        <f>J343</f>
        <v>37856</v>
      </c>
      <c r="K342" s="522"/>
      <c r="L342" s="154"/>
      <c r="N342" s="154"/>
      <c r="O342" s="154"/>
    </row>
    <row r="343" spans="1:15" s="138" customFormat="1" ht="31.5" x14ac:dyDescent="0.25">
      <c r="A343" s="465" t="s">
        <v>707</v>
      </c>
      <c r="B343" s="194" t="s">
        <v>49</v>
      </c>
      <c r="C343" s="185" t="s">
        <v>22</v>
      </c>
      <c r="D343" s="458" t="s">
        <v>706</v>
      </c>
      <c r="E343" s="326"/>
      <c r="F343" s="159">
        <f>F344</f>
        <v>53000</v>
      </c>
      <c r="G343" s="306"/>
      <c r="H343" s="522">
        <f>H344</f>
        <v>36365</v>
      </c>
      <c r="I343" s="522"/>
      <c r="J343" s="522">
        <f>J344</f>
        <v>37856</v>
      </c>
      <c r="K343" s="522"/>
      <c r="L343" s="154"/>
      <c r="N343" s="154"/>
      <c r="O343" s="154"/>
    </row>
    <row r="344" spans="1:15" s="138" customFormat="1" ht="31.5" x14ac:dyDescent="0.25">
      <c r="A344" s="375" t="s">
        <v>60</v>
      </c>
      <c r="B344" s="194" t="s">
        <v>49</v>
      </c>
      <c r="C344" s="185" t="s">
        <v>22</v>
      </c>
      <c r="D344" s="458" t="s">
        <v>706</v>
      </c>
      <c r="E344" s="326">
        <v>600</v>
      </c>
      <c r="F344" s="159">
        <f>F345</f>
        <v>53000</v>
      </c>
      <c r="G344" s="306"/>
      <c r="H344" s="522">
        <f>H345</f>
        <v>36365</v>
      </c>
      <c r="I344" s="522"/>
      <c r="J344" s="522">
        <f>J345</f>
        <v>37856</v>
      </c>
      <c r="K344" s="522"/>
      <c r="L344" s="154"/>
      <c r="N344" s="154"/>
      <c r="O344" s="154"/>
    </row>
    <row r="345" spans="1:15" s="138" customFormat="1" x14ac:dyDescent="0.25">
      <c r="A345" s="375" t="s">
        <v>61</v>
      </c>
      <c r="B345" s="194" t="s">
        <v>49</v>
      </c>
      <c r="C345" s="185" t="s">
        <v>22</v>
      </c>
      <c r="D345" s="458" t="s">
        <v>706</v>
      </c>
      <c r="E345" s="326">
        <v>610</v>
      </c>
      <c r="F345" s="159">
        <f>'ведом. 2025-2027'!AD247</f>
        <v>53000</v>
      </c>
      <c r="G345" s="306"/>
      <c r="H345" s="522">
        <f>'ведом. 2025-2027'!AE247</f>
        <v>36365</v>
      </c>
      <c r="I345" s="522"/>
      <c r="J345" s="522">
        <f>'ведом. 2025-2027'!AF247</f>
        <v>37856</v>
      </c>
      <c r="K345" s="522"/>
      <c r="L345" s="154"/>
      <c r="N345" s="154"/>
      <c r="O345" s="154"/>
    </row>
    <row r="346" spans="1:15" s="177" customFormat="1" x14ac:dyDescent="0.25">
      <c r="A346" s="259" t="s">
        <v>242</v>
      </c>
      <c r="B346" s="194" t="s">
        <v>49</v>
      </c>
      <c r="C346" s="185" t="s">
        <v>22</v>
      </c>
      <c r="D346" s="156" t="s">
        <v>243</v>
      </c>
      <c r="E346" s="326"/>
      <c r="F346" s="159">
        <f>F347</f>
        <v>7288</v>
      </c>
      <c r="G346" s="306"/>
      <c r="H346" s="522">
        <f>H347</f>
        <v>7580</v>
      </c>
      <c r="I346" s="522"/>
      <c r="J346" s="522">
        <f>J347</f>
        <v>7883</v>
      </c>
      <c r="K346" s="522"/>
      <c r="L346" s="154"/>
      <c r="N346" s="154"/>
      <c r="O346" s="154"/>
    </row>
    <row r="347" spans="1:15" s="177" customFormat="1" ht="31.5" x14ac:dyDescent="0.25">
      <c r="A347" s="259" t="s">
        <v>540</v>
      </c>
      <c r="B347" s="194" t="s">
        <v>49</v>
      </c>
      <c r="C347" s="185" t="s">
        <v>22</v>
      </c>
      <c r="D347" s="156" t="s">
        <v>244</v>
      </c>
      <c r="E347" s="328"/>
      <c r="F347" s="159">
        <f>F348</f>
        <v>7288</v>
      </c>
      <c r="G347" s="522"/>
      <c r="H347" s="522">
        <f t="shared" ref="H347:J348" si="70">H348</f>
        <v>7580</v>
      </c>
      <c r="I347" s="522"/>
      <c r="J347" s="522">
        <f t="shared" si="70"/>
        <v>7883</v>
      </c>
      <c r="K347" s="522"/>
      <c r="L347" s="154"/>
      <c r="N347" s="154"/>
      <c r="O347" s="154"/>
    </row>
    <row r="348" spans="1:15" s="177" customFormat="1" ht="31.5" x14ac:dyDescent="0.25">
      <c r="A348" s="257" t="s">
        <v>541</v>
      </c>
      <c r="B348" s="194" t="s">
        <v>49</v>
      </c>
      <c r="C348" s="185" t="s">
        <v>22</v>
      </c>
      <c r="D348" s="458" t="s">
        <v>245</v>
      </c>
      <c r="E348" s="460"/>
      <c r="F348" s="159">
        <f>F349</f>
        <v>7288</v>
      </c>
      <c r="G348" s="522"/>
      <c r="H348" s="522">
        <f t="shared" si="70"/>
        <v>7580</v>
      </c>
      <c r="I348" s="522"/>
      <c r="J348" s="522">
        <f t="shared" si="70"/>
        <v>7883</v>
      </c>
      <c r="K348" s="522"/>
      <c r="L348" s="154"/>
      <c r="N348" s="154"/>
      <c r="O348" s="154"/>
    </row>
    <row r="349" spans="1:15" s="177" customFormat="1" x14ac:dyDescent="0.25">
      <c r="A349" s="253" t="s">
        <v>441</v>
      </c>
      <c r="B349" s="194" t="s">
        <v>49</v>
      </c>
      <c r="C349" s="185" t="s">
        <v>22</v>
      </c>
      <c r="D349" s="458" t="s">
        <v>708</v>
      </c>
      <c r="E349" s="468"/>
      <c r="F349" s="159">
        <f>F350</f>
        <v>7288</v>
      </c>
      <c r="G349" s="306"/>
      <c r="H349" s="522">
        <f>H350</f>
        <v>7580</v>
      </c>
      <c r="I349" s="522"/>
      <c r="J349" s="522">
        <f>J350</f>
        <v>7883</v>
      </c>
      <c r="K349" s="522"/>
      <c r="L349" s="154"/>
      <c r="N349" s="154"/>
      <c r="O349" s="154"/>
    </row>
    <row r="350" spans="1:15" s="177" customFormat="1" x14ac:dyDescent="0.25">
      <c r="A350" s="253" t="s">
        <v>120</v>
      </c>
      <c r="B350" s="194" t="s">
        <v>49</v>
      </c>
      <c r="C350" s="185" t="s">
        <v>22</v>
      </c>
      <c r="D350" s="458" t="s">
        <v>708</v>
      </c>
      <c r="E350" s="468" t="s">
        <v>37</v>
      </c>
      <c r="F350" s="159">
        <f>F351</f>
        <v>7288</v>
      </c>
      <c r="G350" s="306"/>
      <c r="H350" s="522">
        <f>H351</f>
        <v>7580</v>
      </c>
      <c r="I350" s="522"/>
      <c r="J350" s="522">
        <f>J351</f>
        <v>7883</v>
      </c>
      <c r="K350" s="522"/>
      <c r="L350" s="154"/>
      <c r="N350" s="154"/>
      <c r="O350" s="154"/>
    </row>
    <row r="351" spans="1:15" s="177" customFormat="1" ht="31.5" x14ac:dyDescent="0.25">
      <c r="A351" s="253" t="s">
        <v>52</v>
      </c>
      <c r="B351" s="194" t="s">
        <v>49</v>
      </c>
      <c r="C351" s="185" t="s">
        <v>22</v>
      </c>
      <c r="D351" s="458" t="s">
        <v>708</v>
      </c>
      <c r="E351" s="468" t="s">
        <v>65</v>
      </c>
      <c r="F351" s="159">
        <f>'ведом. 2025-2027'!AD833</f>
        <v>7288</v>
      </c>
      <c r="G351" s="306"/>
      <c r="H351" s="522">
        <f>'ведом. 2025-2027'!AE833</f>
        <v>7580</v>
      </c>
      <c r="I351" s="522"/>
      <c r="J351" s="522">
        <f>'ведом. 2025-2027'!AF833</f>
        <v>7883</v>
      </c>
      <c r="K351" s="522"/>
      <c r="L351" s="154"/>
      <c r="N351" s="154"/>
      <c r="O351" s="154"/>
    </row>
    <row r="352" spans="1:15" s="138" customFormat="1" x14ac:dyDescent="0.25">
      <c r="A352" s="386" t="s">
        <v>32</v>
      </c>
      <c r="B352" s="191" t="s">
        <v>49</v>
      </c>
      <c r="C352" s="4">
        <v>10</v>
      </c>
      <c r="D352" s="279"/>
      <c r="E352" s="326"/>
      <c r="F352" s="159">
        <f>F353</f>
        <v>3822</v>
      </c>
      <c r="G352" s="306"/>
      <c r="H352" s="522">
        <f>H353</f>
        <v>3003</v>
      </c>
      <c r="I352" s="522"/>
      <c r="J352" s="522">
        <f>J353</f>
        <v>0</v>
      </c>
      <c r="K352" s="522"/>
      <c r="L352" s="154"/>
      <c r="N352" s="154"/>
      <c r="O352" s="154"/>
    </row>
    <row r="353" spans="1:15" s="138" customFormat="1" x14ac:dyDescent="0.25">
      <c r="A353" s="255" t="s">
        <v>233</v>
      </c>
      <c r="B353" s="11" t="s">
        <v>49</v>
      </c>
      <c r="C353" s="189">
        <v>10</v>
      </c>
      <c r="D353" s="156" t="s">
        <v>234</v>
      </c>
      <c r="E353" s="326"/>
      <c r="F353" s="159">
        <f>F354</f>
        <v>3822</v>
      </c>
      <c r="G353" s="306"/>
      <c r="H353" s="522">
        <f>H354</f>
        <v>3003</v>
      </c>
      <c r="I353" s="522"/>
      <c r="J353" s="522">
        <f>J354</f>
        <v>0</v>
      </c>
      <c r="K353" s="522"/>
      <c r="L353" s="154"/>
      <c r="N353" s="154"/>
      <c r="O353" s="154"/>
    </row>
    <row r="354" spans="1:15" s="138" customFormat="1" ht="31.5" x14ac:dyDescent="0.25">
      <c r="A354" s="255" t="s">
        <v>236</v>
      </c>
      <c r="B354" s="11" t="s">
        <v>49</v>
      </c>
      <c r="C354" s="189">
        <v>10</v>
      </c>
      <c r="D354" s="156" t="s">
        <v>237</v>
      </c>
      <c r="E354" s="335"/>
      <c r="F354" s="159">
        <f>F355+F363+F359</f>
        <v>3822</v>
      </c>
      <c r="G354" s="306"/>
      <c r="H354" s="522">
        <f>H355+H363+H359</f>
        <v>3003</v>
      </c>
      <c r="I354" s="522"/>
      <c r="J354" s="522">
        <f>J355+J363+J359</f>
        <v>0</v>
      </c>
      <c r="K354" s="522"/>
      <c r="L354" s="154"/>
      <c r="N354" s="154"/>
      <c r="O354" s="154"/>
    </row>
    <row r="355" spans="1:15" s="177" customFormat="1" x14ac:dyDescent="0.25">
      <c r="A355" s="259" t="s">
        <v>372</v>
      </c>
      <c r="B355" s="11" t="s">
        <v>49</v>
      </c>
      <c r="C355" s="189">
        <v>10</v>
      </c>
      <c r="D355" s="156" t="s">
        <v>373</v>
      </c>
      <c r="E355" s="335"/>
      <c r="F355" s="159">
        <f>F356</f>
        <v>3172</v>
      </c>
      <c r="G355" s="306"/>
      <c r="H355" s="522">
        <f>H356</f>
        <v>2593</v>
      </c>
      <c r="I355" s="522"/>
      <c r="J355" s="522">
        <f>J356</f>
        <v>0</v>
      </c>
      <c r="K355" s="522"/>
      <c r="L355" s="154"/>
      <c r="N355" s="154"/>
      <c r="O355" s="154"/>
    </row>
    <row r="356" spans="1:15" s="177" customFormat="1" x14ac:dyDescent="0.25">
      <c r="A356" s="258" t="s">
        <v>374</v>
      </c>
      <c r="B356" s="11" t="s">
        <v>49</v>
      </c>
      <c r="C356" s="189">
        <v>10</v>
      </c>
      <c r="D356" s="156" t="s">
        <v>375</v>
      </c>
      <c r="E356" s="336"/>
      <c r="F356" s="159">
        <f>F357</f>
        <v>3172</v>
      </c>
      <c r="G356" s="306"/>
      <c r="H356" s="522">
        <f>H357</f>
        <v>2593</v>
      </c>
      <c r="I356" s="522"/>
      <c r="J356" s="522">
        <f>J357</f>
        <v>0</v>
      </c>
      <c r="K356" s="522"/>
      <c r="L356" s="154"/>
      <c r="N356" s="154"/>
      <c r="O356" s="154"/>
    </row>
    <row r="357" spans="1:15" s="177" customFormat="1" x14ac:dyDescent="0.25">
      <c r="A357" s="253" t="s">
        <v>120</v>
      </c>
      <c r="B357" s="11" t="s">
        <v>49</v>
      </c>
      <c r="C357" s="189">
        <v>10</v>
      </c>
      <c r="D357" s="156" t="s">
        <v>375</v>
      </c>
      <c r="E357" s="326">
        <v>200</v>
      </c>
      <c r="F357" s="159">
        <f>F358</f>
        <v>3172</v>
      </c>
      <c r="G357" s="306"/>
      <c r="H357" s="522">
        <f>H358</f>
        <v>2593</v>
      </c>
      <c r="I357" s="522"/>
      <c r="J357" s="522">
        <f>J358</f>
        <v>0</v>
      </c>
      <c r="K357" s="522"/>
      <c r="L357" s="154"/>
      <c r="N357" s="154"/>
      <c r="O357" s="154"/>
    </row>
    <row r="358" spans="1:15" s="177" customFormat="1" ht="31.5" x14ac:dyDescent="0.25">
      <c r="A358" s="253" t="s">
        <v>52</v>
      </c>
      <c r="B358" s="11" t="s">
        <v>49</v>
      </c>
      <c r="C358" s="189">
        <v>10</v>
      </c>
      <c r="D358" s="156" t="s">
        <v>375</v>
      </c>
      <c r="E358" s="326">
        <v>240</v>
      </c>
      <c r="F358" s="159">
        <f>'ведом. 2025-2027'!AD254</f>
        <v>3172</v>
      </c>
      <c r="G358" s="306"/>
      <c r="H358" s="522">
        <f>'ведом. 2025-2027'!AE254</f>
        <v>2593</v>
      </c>
      <c r="I358" s="522"/>
      <c r="J358" s="522">
        <f>'ведом. 2025-2027'!AF254</f>
        <v>0</v>
      </c>
      <c r="K358" s="522"/>
      <c r="L358" s="154"/>
      <c r="N358" s="154"/>
      <c r="O358" s="154"/>
    </row>
    <row r="359" spans="1:15" s="177" customFormat="1" x14ac:dyDescent="0.25">
      <c r="A359" s="259" t="s">
        <v>390</v>
      </c>
      <c r="B359" s="11" t="s">
        <v>49</v>
      </c>
      <c r="C359" s="189">
        <v>10</v>
      </c>
      <c r="D359" s="156" t="s">
        <v>391</v>
      </c>
      <c r="E359" s="326"/>
      <c r="F359" s="159">
        <f>F360</f>
        <v>350</v>
      </c>
      <c r="G359" s="306"/>
      <c r="H359" s="522">
        <f>H360</f>
        <v>110</v>
      </c>
      <c r="I359" s="522"/>
      <c r="J359" s="522">
        <f>J360</f>
        <v>0</v>
      </c>
      <c r="K359" s="522"/>
      <c r="L359" s="154"/>
      <c r="N359" s="154"/>
      <c r="O359" s="154"/>
    </row>
    <row r="360" spans="1:15" s="177" customFormat="1" x14ac:dyDescent="0.25">
      <c r="A360" s="258" t="s">
        <v>392</v>
      </c>
      <c r="B360" s="11" t="s">
        <v>49</v>
      </c>
      <c r="C360" s="189">
        <v>10</v>
      </c>
      <c r="D360" s="156" t="s">
        <v>393</v>
      </c>
      <c r="E360" s="326"/>
      <c r="F360" s="159">
        <f>F361</f>
        <v>350</v>
      </c>
      <c r="G360" s="306"/>
      <c r="H360" s="522">
        <f>H361</f>
        <v>110</v>
      </c>
      <c r="I360" s="522"/>
      <c r="J360" s="522">
        <f>J361</f>
        <v>0</v>
      </c>
      <c r="K360" s="522"/>
      <c r="L360" s="154"/>
      <c r="N360" s="154"/>
      <c r="O360" s="154"/>
    </row>
    <row r="361" spans="1:15" s="177" customFormat="1" x14ac:dyDescent="0.25">
      <c r="A361" s="253" t="s">
        <v>120</v>
      </c>
      <c r="B361" s="11" t="s">
        <v>49</v>
      </c>
      <c r="C361" s="189">
        <v>10</v>
      </c>
      <c r="D361" s="156" t="s">
        <v>393</v>
      </c>
      <c r="E361" s="326">
        <v>200</v>
      </c>
      <c r="F361" s="159">
        <f>F362</f>
        <v>350</v>
      </c>
      <c r="G361" s="306"/>
      <c r="H361" s="522">
        <f>H362</f>
        <v>110</v>
      </c>
      <c r="I361" s="522"/>
      <c r="J361" s="522">
        <f>J362</f>
        <v>0</v>
      </c>
      <c r="K361" s="522"/>
      <c r="L361" s="154"/>
      <c r="N361" s="154"/>
      <c r="O361" s="154"/>
    </row>
    <row r="362" spans="1:15" s="177" customFormat="1" ht="31.5" x14ac:dyDescent="0.25">
      <c r="A362" s="253" t="s">
        <v>52</v>
      </c>
      <c r="B362" s="11" t="s">
        <v>49</v>
      </c>
      <c r="C362" s="189">
        <v>10</v>
      </c>
      <c r="D362" s="156" t="s">
        <v>393</v>
      </c>
      <c r="E362" s="326">
        <v>240</v>
      </c>
      <c r="F362" s="159">
        <f>'ведом. 2025-2027'!AD258</f>
        <v>350</v>
      </c>
      <c r="G362" s="306"/>
      <c r="H362" s="522">
        <f>'ведом. 2025-2027'!AE258</f>
        <v>110</v>
      </c>
      <c r="I362" s="522"/>
      <c r="J362" s="522">
        <f>'ведом. 2025-2027'!AF258</f>
        <v>0</v>
      </c>
      <c r="K362" s="522"/>
      <c r="L362" s="154"/>
      <c r="N362" s="154"/>
      <c r="O362" s="154"/>
    </row>
    <row r="363" spans="1:15" s="177" customFormat="1" x14ac:dyDescent="0.25">
      <c r="A363" s="259" t="s">
        <v>376</v>
      </c>
      <c r="B363" s="11" t="s">
        <v>49</v>
      </c>
      <c r="C363" s="189">
        <v>10</v>
      </c>
      <c r="D363" s="156" t="s">
        <v>377</v>
      </c>
      <c r="E363" s="326"/>
      <c r="F363" s="159">
        <f>F364</f>
        <v>300</v>
      </c>
      <c r="G363" s="306"/>
      <c r="H363" s="522">
        <f>H364</f>
        <v>300</v>
      </c>
      <c r="I363" s="522"/>
      <c r="J363" s="522">
        <f>J364</f>
        <v>0</v>
      </c>
      <c r="K363" s="522"/>
      <c r="L363" s="154"/>
      <c r="N363" s="154"/>
      <c r="O363" s="154"/>
    </row>
    <row r="364" spans="1:15" s="177" customFormat="1" x14ac:dyDescent="0.25">
      <c r="A364" s="258" t="s">
        <v>378</v>
      </c>
      <c r="B364" s="11" t="s">
        <v>49</v>
      </c>
      <c r="C364" s="189">
        <v>10</v>
      </c>
      <c r="D364" s="156" t="s">
        <v>379</v>
      </c>
      <c r="E364" s="326"/>
      <c r="F364" s="159">
        <f>F365</f>
        <v>300</v>
      </c>
      <c r="G364" s="306"/>
      <c r="H364" s="522">
        <f>H365</f>
        <v>300</v>
      </c>
      <c r="I364" s="522"/>
      <c r="J364" s="522">
        <f>J365</f>
        <v>0</v>
      </c>
      <c r="K364" s="522"/>
      <c r="L364" s="154"/>
      <c r="N364" s="154"/>
      <c r="O364" s="154"/>
    </row>
    <row r="365" spans="1:15" s="177" customFormat="1" x14ac:dyDescent="0.25">
      <c r="A365" s="253" t="s">
        <v>120</v>
      </c>
      <c r="B365" s="11" t="s">
        <v>49</v>
      </c>
      <c r="C365" s="189">
        <v>10</v>
      </c>
      <c r="D365" s="156" t="s">
        <v>379</v>
      </c>
      <c r="E365" s="326">
        <v>200</v>
      </c>
      <c r="F365" s="159">
        <f>F366</f>
        <v>300</v>
      </c>
      <c r="G365" s="306"/>
      <c r="H365" s="522">
        <f>H366</f>
        <v>300</v>
      </c>
      <c r="I365" s="522"/>
      <c r="J365" s="522">
        <f>J366</f>
        <v>0</v>
      </c>
      <c r="K365" s="522"/>
      <c r="L365" s="154"/>
      <c r="N365" s="154"/>
      <c r="O365" s="154"/>
    </row>
    <row r="366" spans="1:15" s="177" customFormat="1" ht="31.5" x14ac:dyDescent="0.25">
      <c r="A366" s="253" t="s">
        <v>52</v>
      </c>
      <c r="B366" s="11" t="s">
        <v>49</v>
      </c>
      <c r="C366" s="189">
        <v>10</v>
      </c>
      <c r="D366" s="156" t="s">
        <v>379</v>
      </c>
      <c r="E366" s="326">
        <v>240</v>
      </c>
      <c r="F366" s="159">
        <f>'ведом. 2025-2027'!AD262</f>
        <v>300</v>
      </c>
      <c r="G366" s="306"/>
      <c r="H366" s="522">
        <f>'ведом. 2025-2027'!AE262</f>
        <v>300</v>
      </c>
      <c r="I366" s="522"/>
      <c r="J366" s="522">
        <f>'ведом. 2025-2027'!AF262</f>
        <v>0</v>
      </c>
      <c r="K366" s="522"/>
      <c r="L366" s="154"/>
      <c r="N366" s="154"/>
      <c r="O366" s="154"/>
    </row>
    <row r="367" spans="1:15" s="149" customFormat="1" x14ac:dyDescent="0.25">
      <c r="A367" s="375" t="s">
        <v>51</v>
      </c>
      <c r="B367" s="191" t="s">
        <v>49</v>
      </c>
      <c r="C367" s="4">
        <v>12</v>
      </c>
      <c r="D367" s="26"/>
      <c r="E367" s="325"/>
      <c r="F367" s="159">
        <f>F368</f>
        <v>984.7</v>
      </c>
      <c r="G367" s="522">
        <f t="shared" ref="G367:K367" si="71">G368</f>
        <v>377</v>
      </c>
      <c r="H367" s="522">
        <f t="shared" si="71"/>
        <v>377</v>
      </c>
      <c r="I367" s="522">
        <f t="shared" si="71"/>
        <v>377</v>
      </c>
      <c r="J367" s="522">
        <f t="shared" si="71"/>
        <v>377</v>
      </c>
      <c r="K367" s="522">
        <f t="shared" si="71"/>
        <v>377</v>
      </c>
      <c r="L367" s="154"/>
      <c r="N367" s="154"/>
      <c r="O367" s="154"/>
    </row>
    <row r="368" spans="1:15" s="149" customFormat="1" ht="31.5" x14ac:dyDescent="0.25">
      <c r="A368" s="255" t="s">
        <v>161</v>
      </c>
      <c r="B368" s="191" t="s">
        <v>49</v>
      </c>
      <c r="C368" s="4">
        <v>12</v>
      </c>
      <c r="D368" s="26" t="s">
        <v>102</v>
      </c>
      <c r="E368" s="326"/>
      <c r="F368" s="159">
        <f t="shared" ref="F368:K369" si="72">F369</f>
        <v>984.7</v>
      </c>
      <c r="G368" s="306">
        <f t="shared" si="72"/>
        <v>377</v>
      </c>
      <c r="H368" s="522">
        <f t="shared" si="72"/>
        <v>377</v>
      </c>
      <c r="I368" s="522">
        <f t="shared" si="72"/>
        <v>377</v>
      </c>
      <c r="J368" s="522">
        <f t="shared" si="72"/>
        <v>377</v>
      </c>
      <c r="K368" s="522">
        <f t="shared" si="72"/>
        <v>377</v>
      </c>
      <c r="L368" s="154"/>
      <c r="N368" s="154"/>
      <c r="O368" s="154"/>
    </row>
    <row r="369" spans="1:15" s="149" customFormat="1" x14ac:dyDescent="0.25">
      <c r="A369" s="255" t="s">
        <v>162</v>
      </c>
      <c r="B369" s="191" t="s">
        <v>49</v>
      </c>
      <c r="C369" s="4">
        <v>12</v>
      </c>
      <c r="D369" s="26" t="s">
        <v>106</v>
      </c>
      <c r="E369" s="326"/>
      <c r="F369" s="159">
        <f t="shared" si="72"/>
        <v>984.7</v>
      </c>
      <c r="G369" s="306">
        <f t="shared" si="72"/>
        <v>377</v>
      </c>
      <c r="H369" s="522">
        <f t="shared" si="72"/>
        <v>377</v>
      </c>
      <c r="I369" s="522">
        <f t="shared" si="72"/>
        <v>377</v>
      </c>
      <c r="J369" s="522">
        <f t="shared" si="72"/>
        <v>377</v>
      </c>
      <c r="K369" s="522">
        <f t="shared" si="72"/>
        <v>377</v>
      </c>
      <c r="L369" s="154"/>
      <c r="N369" s="154"/>
      <c r="O369" s="154"/>
    </row>
    <row r="370" spans="1:15" s="138" customFormat="1" x14ac:dyDescent="0.25">
      <c r="A370" s="274" t="s">
        <v>528</v>
      </c>
      <c r="B370" s="191" t="s">
        <v>49</v>
      </c>
      <c r="C370" s="4">
        <v>12</v>
      </c>
      <c r="D370" s="26" t="s">
        <v>335</v>
      </c>
      <c r="E370" s="328"/>
      <c r="F370" s="159">
        <f t="shared" ref="F370:K370" si="73">F371+F374</f>
        <v>984.7</v>
      </c>
      <c r="G370" s="306">
        <f t="shared" si="73"/>
        <v>377</v>
      </c>
      <c r="H370" s="522">
        <f t="shared" si="73"/>
        <v>377</v>
      </c>
      <c r="I370" s="522">
        <f t="shared" si="73"/>
        <v>377</v>
      </c>
      <c r="J370" s="522">
        <f t="shared" si="73"/>
        <v>377</v>
      </c>
      <c r="K370" s="522">
        <f t="shared" si="73"/>
        <v>377</v>
      </c>
      <c r="L370" s="154"/>
      <c r="N370" s="154"/>
      <c r="O370" s="154"/>
    </row>
    <row r="371" spans="1:15" s="138" customFormat="1" x14ac:dyDescent="0.25">
      <c r="A371" s="256" t="s">
        <v>246</v>
      </c>
      <c r="B371" s="191" t="s">
        <v>49</v>
      </c>
      <c r="C371" s="4">
        <v>12</v>
      </c>
      <c r="D371" s="156" t="s">
        <v>334</v>
      </c>
      <c r="E371" s="325"/>
      <c r="F371" s="159">
        <f>F372</f>
        <v>607.70000000000005</v>
      </c>
      <c r="G371" s="306"/>
      <c r="H371" s="522">
        <f>H372</f>
        <v>0</v>
      </c>
      <c r="I371" s="522"/>
      <c r="J371" s="522">
        <f>J372</f>
        <v>0</v>
      </c>
      <c r="K371" s="522"/>
      <c r="L371" s="154"/>
      <c r="N371" s="154"/>
      <c r="O371" s="154"/>
    </row>
    <row r="372" spans="1:15" s="138" customFormat="1" x14ac:dyDescent="0.25">
      <c r="A372" s="375" t="s">
        <v>120</v>
      </c>
      <c r="B372" s="191" t="s">
        <v>49</v>
      </c>
      <c r="C372" s="4">
        <v>12</v>
      </c>
      <c r="D372" s="156" t="s">
        <v>334</v>
      </c>
      <c r="E372" s="326">
        <v>200</v>
      </c>
      <c r="F372" s="159">
        <f>F373</f>
        <v>607.70000000000005</v>
      </c>
      <c r="G372" s="306"/>
      <c r="H372" s="522">
        <f>H373</f>
        <v>0</v>
      </c>
      <c r="I372" s="522"/>
      <c r="J372" s="522">
        <f>J373</f>
        <v>0</v>
      </c>
      <c r="K372" s="522"/>
      <c r="L372" s="154"/>
      <c r="N372" s="154"/>
      <c r="O372" s="154"/>
    </row>
    <row r="373" spans="1:15" s="138" customFormat="1" ht="31.5" x14ac:dyDescent="0.25">
      <c r="A373" s="375" t="s">
        <v>52</v>
      </c>
      <c r="B373" s="191" t="s">
        <v>49</v>
      </c>
      <c r="C373" s="4">
        <v>12</v>
      </c>
      <c r="D373" s="156" t="s">
        <v>334</v>
      </c>
      <c r="E373" s="326">
        <v>240</v>
      </c>
      <c r="F373" s="159">
        <f>'ведом. 2025-2027'!AD269</f>
        <v>607.70000000000005</v>
      </c>
      <c r="G373" s="306"/>
      <c r="H373" s="522">
        <f>'ведом. 2025-2027'!AE269</f>
        <v>0</v>
      </c>
      <c r="I373" s="522"/>
      <c r="J373" s="522">
        <f>'ведом. 2025-2027'!AF269</f>
        <v>0</v>
      </c>
      <c r="K373" s="522"/>
      <c r="L373" s="154"/>
      <c r="N373" s="154"/>
      <c r="O373" s="154"/>
    </row>
    <row r="374" spans="1:15" s="177" customFormat="1" ht="47.25" x14ac:dyDescent="0.25">
      <c r="A374" s="253" t="s">
        <v>360</v>
      </c>
      <c r="B374" s="191" t="s">
        <v>49</v>
      </c>
      <c r="C374" s="4">
        <v>12</v>
      </c>
      <c r="D374" s="26" t="s">
        <v>359</v>
      </c>
      <c r="E374" s="326"/>
      <c r="F374" s="159">
        <f t="shared" ref="F374:K375" si="74">F375</f>
        <v>377</v>
      </c>
      <c r="G374" s="306">
        <f t="shared" si="74"/>
        <v>377</v>
      </c>
      <c r="H374" s="522">
        <f t="shared" si="74"/>
        <v>377</v>
      </c>
      <c r="I374" s="522">
        <f>I375</f>
        <v>377</v>
      </c>
      <c r="J374" s="522">
        <f t="shared" si="74"/>
        <v>377</v>
      </c>
      <c r="K374" s="522">
        <f t="shared" si="74"/>
        <v>377</v>
      </c>
      <c r="L374" s="154"/>
      <c r="N374" s="154"/>
      <c r="O374" s="154"/>
    </row>
    <row r="375" spans="1:15" s="177" customFormat="1" x14ac:dyDescent="0.25">
      <c r="A375" s="253" t="s">
        <v>120</v>
      </c>
      <c r="B375" s="191" t="s">
        <v>49</v>
      </c>
      <c r="C375" s="4">
        <v>12</v>
      </c>
      <c r="D375" s="26" t="s">
        <v>359</v>
      </c>
      <c r="E375" s="326">
        <v>200</v>
      </c>
      <c r="F375" s="159">
        <f t="shared" si="74"/>
        <v>377</v>
      </c>
      <c r="G375" s="306">
        <f t="shared" si="74"/>
        <v>377</v>
      </c>
      <c r="H375" s="522">
        <f t="shared" si="74"/>
        <v>377</v>
      </c>
      <c r="I375" s="522">
        <f>I376</f>
        <v>377</v>
      </c>
      <c r="J375" s="522">
        <f t="shared" si="74"/>
        <v>377</v>
      </c>
      <c r="K375" s="522">
        <f t="shared" si="74"/>
        <v>377</v>
      </c>
      <c r="L375" s="154"/>
      <c r="N375" s="154"/>
      <c r="O375" s="154"/>
    </row>
    <row r="376" spans="1:15" s="177" customFormat="1" ht="31.5" x14ac:dyDescent="0.25">
      <c r="A376" s="253" t="s">
        <v>52</v>
      </c>
      <c r="B376" s="191" t="s">
        <v>49</v>
      </c>
      <c r="C376" s="4">
        <v>12</v>
      </c>
      <c r="D376" s="26" t="s">
        <v>359</v>
      </c>
      <c r="E376" s="326">
        <v>240</v>
      </c>
      <c r="F376" s="159">
        <f>'ведом. 2025-2027'!AD272</f>
        <v>377</v>
      </c>
      <c r="G376" s="306">
        <f>F376</f>
        <v>377</v>
      </c>
      <c r="H376" s="522">
        <f>'ведом. 2025-2027'!AE272</f>
        <v>377</v>
      </c>
      <c r="I376" s="522">
        <f>H376</f>
        <v>377</v>
      </c>
      <c r="J376" s="522">
        <f>'ведом. 2025-2027'!AF272</f>
        <v>377</v>
      </c>
      <c r="K376" s="522">
        <f>J376</f>
        <v>377</v>
      </c>
      <c r="L376" s="154"/>
      <c r="N376" s="154"/>
      <c r="O376" s="154"/>
    </row>
    <row r="377" spans="1:15" s="138" customFormat="1" x14ac:dyDescent="0.25">
      <c r="A377" s="384" t="s">
        <v>3</v>
      </c>
      <c r="B377" s="193" t="s">
        <v>5</v>
      </c>
      <c r="C377" s="188"/>
      <c r="D377" s="280"/>
      <c r="E377" s="337"/>
      <c r="F377" s="161">
        <f t="shared" ref="F377:K377" si="75">F378+F445+F525+F397</f>
        <v>1927237.4000000001</v>
      </c>
      <c r="G377" s="347">
        <f t="shared" si="75"/>
        <v>1069038</v>
      </c>
      <c r="H377" s="161">
        <f t="shared" si="75"/>
        <v>1047869.0999999999</v>
      </c>
      <c r="I377" s="161">
        <f t="shared" si="75"/>
        <v>490170.6</v>
      </c>
      <c r="J377" s="161">
        <f t="shared" si="75"/>
        <v>970699.89999999991</v>
      </c>
      <c r="K377" s="161">
        <f t="shared" si="75"/>
        <v>397570.8</v>
      </c>
      <c r="L377" s="154"/>
      <c r="N377" s="154"/>
      <c r="O377" s="154"/>
    </row>
    <row r="378" spans="1:15" s="138" customFormat="1" x14ac:dyDescent="0.25">
      <c r="A378" s="375" t="s">
        <v>69</v>
      </c>
      <c r="B378" s="191" t="s">
        <v>5</v>
      </c>
      <c r="C378" s="4" t="s">
        <v>29</v>
      </c>
      <c r="D378" s="26"/>
      <c r="E378" s="337"/>
      <c r="F378" s="159">
        <f>F379+F391+F385</f>
        <v>27354</v>
      </c>
      <c r="G378" s="522"/>
      <c r="H378" s="522">
        <f t="shared" ref="H378:J378" si="76">H379+H391+H385</f>
        <v>8300</v>
      </c>
      <c r="I378" s="522"/>
      <c r="J378" s="522">
        <f t="shared" si="76"/>
        <v>8300</v>
      </c>
      <c r="K378" s="522"/>
      <c r="L378" s="154"/>
      <c r="N378" s="154"/>
      <c r="O378" s="154"/>
    </row>
    <row r="379" spans="1:15" s="138" customFormat="1" x14ac:dyDescent="0.25">
      <c r="A379" s="255" t="s">
        <v>186</v>
      </c>
      <c r="B379" s="191" t="s">
        <v>5</v>
      </c>
      <c r="C379" s="4" t="s">
        <v>29</v>
      </c>
      <c r="D379" s="156" t="s">
        <v>112</v>
      </c>
      <c r="E379" s="337"/>
      <c r="F379" s="159">
        <f>F380</f>
        <v>22100</v>
      </c>
      <c r="G379" s="306"/>
      <c r="H379" s="522">
        <f>H380</f>
        <v>8300</v>
      </c>
      <c r="I379" s="522"/>
      <c r="J379" s="522">
        <f>J380</f>
        <v>8300</v>
      </c>
      <c r="K379" s="522"/>
      <c r="L379" s="154"/>
      <c r="N379" s="154"/>
      <c r="O379" s="154"/>
    </row>
    <row r="380" spans="1:15" s="138" customFormat="1" x14ac:dyDescent="0.25">
      <c r="A380" s="255" t="s">
        <v>530</v>
      </c>
      <c r="B380" s="191" t="s">
        <v>5</v>
      </c>
      <c r="C380" s="4" t="s">
        <v>29</v>
      </c>
      <c r="D380" s="156" t="s">
        <v>113</v>
      </c>
      <c r="E380" s="337"/>
      <c r="F380" s="159">
        <f>F381</f>
        <v>22100</v>
      </c>
      <c r="G380" s="306"/>
      <c r="H380" s="522">
        <f>H381</f>
        <v>8300</v>
      </c>
      <c r="I380" s="522"/>
      <c r="J380" s="522">
        <f>J381</f>
        <v>8300</v>
      </c>
      <c r="K380" s="522"/>
      <c r="L380" s="154"/>
      <c r="N380" s="154"/>
      <c r="O380" s="154"/>
    </row>
    <row r="381" spans="1:15" s="138" customFormat="1" ht="31.5" x14ac:dyDescent="0.25">
      <c r="A381" s="256" t="s">
        <v>182</v>
      </c>
      <c r="B381" s="191" t="s">
        <v>5</v>
      </c>
      <c r="C381" s="4" t="s">
        <v>29</v>
      </c>
      <c r="D381" s="156" t="s">
        <v>183</v>
      </c>
      <c r="E381" s="337"/>
      <c r="F381" s="159">
        <f>F382</f>
        <v>22100</v>
      </c>
      <c r="G381" s="306"/>
      <c r="H381" s="522">
        <f>H382</f>
        <v>8300</v>
      </c>
      <c r="I381" s="522"/>
      <c r="J381" s="522">
        <f>J382</f>
        <v>8300</v>
      </c>
      <c r="K381" s="522"/>
      <c r="L381" s="154"/>
      <c r="N381" s="154"/>
      <c r="O381" s="154"/>
    </row>
    <row r="382" spans="1:15" s="138" customFormat="1" x14ac:dyDescent="0.25">
      <c r="A382" s="258" t="s">
        <v>433</v>
      </c>
      <c r="B382" s="191" t="s">
        <v>5</v>
      </c>
      <c r="C382" s="4" t="s">
        <v>29</v>
      </c>
      <c r="D382" s="156" t="s">
        <v>386</v>
      </c>
      <c r="E382" s="325"/>
      <c r="F382" s="159">
        <f>F383</f>
        <v>22100</v>
      </c>
      <c r="G382" s="306"/>
      <c r="H382" s="522">
        <f>H383</f>
        <v>8300</v>
      </c>
      <c r="I382" s="522"/>
      <c r="J382" s="522">
        <f>J383</f>
        <v>8300</v>
      </c>
      <c r="K382" s="522"/>
      <c r="L382" s="154"/>
      <c r="N382" s="154"/>
      <c r="O382" s="154"/>
    </row>
    <row r="383" spans="1:15" s="138" customFormat="1" x14ac:dyDescent="0.25">
      <c r="A383" s="253" t="s">
        <v>120</v>
      </c>
      <c r="B383" s="191" t="s">
        <v>5</v>
      </c>
      <c r="C383" s="4" t="s">
        <v>29</v>
      </c>
      <c r="D383" s="156" t="s">
        <v>386</v>
      </c>
      <c r="E383" s="338">
        <v>200</v>
      </c>
      <c r="F383" s="159">
        <f>F384</f>
        <v>22100</v>
      </c>
      <c r="G383" s="306"/>
      <c r="H383" s="522">
        <f>H384</f>
        <v>8300</v>
      </c>
      <c r="I383" s="522"/>
      <c r="J383" s="522">
        <f>J384</f>
        <v>8300</v>
      </c>
      <c r="K383" s="522"/>
      <c r="L383" s="154"/>
      <c r="N383" s="154"/>
      <c r="O383" s="154"/>
    </row>
    <row r="384" spans="1:15" s="138" customFormat="1" ht="31.5" x14ac:dyDescent="0.25">
      <c r="A384" s="253" t="s">
        <v>52</v>
      </c>
      <c r="B384" s="191" t="s">
        <v>5</v>
      </c>
      <c r="C384" s="4" t="s">
        <v>29</v>
      </c>
      <c r="D384" s="156" t="s">
        <v>386</v>
      </c>
      <c r="E384" s="338">
        <v>240</v>
      </c>
      <c r="F384" s="159">
        <f>'ведом. 2025-2027'!AD280</f>
        <v>22100</v>
      </c>
      <c r="G384" s="306"/>
      <c r="H384" s="522">
        <f>'ведом. 2025-2027'!AE280</f>
        <v>8300</v>
      </c>
      <c r="I384" s="522"/>
      <c r="J384" s="522">
        <f>'ведом. 2025-2027'!AF280</f>
        <v>8300</v>
      </c>
      <c r="K384" s="522"/>
      <c r="L384" s="154"/>
      <c r="N384" s="154"/>
      <c r="O384" s="154"/>
    </row>
    <row r="385" spans="1:15" s="519" customFormat="1" x14ac:dyDescent="0.25">
      <c r="A385" s="557" t="s">
        <v>242</v>
      </c>
      <c r="B385" s="453" t="s">
        <v>5</v>
      </c>
      <c r="C385" s="453" t="s">
        <v>29</v>
      </c>
      <c r="D385" s="542" t="s">
        <v>243</v>
      </c>
      <c r="E385" s="338"/>
      <c r="F385" s="522">
        <f>F386</f>
        <v>4464</v>
      </c>
      <c r="G385" s="522"/>
      <c r="H385" s="522">
        <f t="shared" ref="H385:J385" si="77">H386</f>
        <v>0</v>
      </c>
      <c r="I385" s="522"/>
      <c r="J385" s="522">
        <f t="shared" si="77"/>
        <v>0</v>
      </c>
      <c r="K385" s="522"/>
      <c r="L385" s="521"/>
      <c r="N385" s="521"/>
      <c r="O385" s="521"/>
    </row>
    <row r="386" spans="1:15" s="519" customFormat="1" ht="31.5" x14ac:dyDescent="0.25">
      <c r="A386" s="557" t="s">
        <v>540</v>
      </c>
      <c r="B386" s="453" t="s">
        <v>5</v>
      </c>
      <c r="C386" s="453" t="s">
        <v>29</v>
      </c>
      <c r="D386" s="542" t="s">
        <v>244</v>
      </c>
      <c r="E386" s="338"/>
      <c r="F386" s="522">
        <f>F387</f>
        <v>4464</v>
      </c>
      <c r="G386" s="522"/>
      <c r="H386" s="522">
        <f t="shared" ref="H386:J386" si="78">H387</f>
        <v>0</v>
      </c>
      <c r="I386" s="522"/>
      <c r="J386" s="522">
        <f t="shared" si="78"/>
        <v>0</v>
      </c>
      <c r="K386" s="522"/>
      <c r="L386" s="521"/>
      <c r="N386" s="521"/>
      <c r="O386" s="521"/>
    </row>
    <row r="387" spans="1:15" s="138" customFormat="1" ht="31.5" x14ac:dyDescent="0.25">
      <c r="A387" s="257" t="s">
        <v>321</v>
      </c>
      <c r="B387" s="191" t="s">
        <v>5</v>
      </c>
      <c r="C387" s="4" t="s">
        <v>29</v>
      </c>
      <c r="D387" s="458" t="s">
        <v>542</v>
      </c>
      <c r="E387" s="325"/>
      <c r="F387" s="159">
        <f>F388</f>
        <v>4464</v>
      </c>
      <c r="G387" s="159"/>
      <c r="H387" s="522">
        <f>H388</f>
        <v>0</v>
      </c>
      <c r="I387" s="522"/>
      <c r="J387" s="522">
        <f>J388</f>
        <v>0</v>
      </c>
      <c r="K387" s="522"/>
      <c r="L387" s="154"/>
      <c r="N387" s="154"/>
      <c r="O387" s="154"/>
    </row>
    <row r="388" spans="1:15" s="177" customFormat="1" x14ac:dyDescent="0.25">
      <c r="A388" s="257" t="s">
        <v>607</v>
      </c>
      <c r="B388" s="1" t="s">
        <v>5</v>
      </c>
      <c r="C388" s="4" t="s">
        <v>29</v>
      </c>
      <c r="D388" s="458" t="s">
        <v>682</v>
      </c>
      <c r="E388" s="286"/>
      <c r="F388" s="159">
        <f>F389</f>
        <v>4464</v>
      </c>
      <c r="G388" s="159"/>
      <c r="H388" s="522">
        <f>H389</f>
        <v>0</v>
      </c>
      <c r="I388" s="522"/>
      <c r="J388" s="522">
        <f>J389</f>
        <v>0</v>
      </c>
      <c r="K388" s="522"/>
      <c r="L388" s="154"/>
      <c r="N388" s="154"/>
      <c r="O388" s="154"/>
    </row>
    <row r="389" spans="1:15" s="177" customFormat="1" x14ac:dyDescent="0.25">
      <c r="A389" s="253" t="s">
        <v>42</v>
      </c>
      <c r="B389" s="1" t="s">
        <v>5</v>
      </c>
      <c r="C389" s="4" t="s">
        <v>29</v>
      </c>
      <c r="D389" s="458" t="s">
        <v>682</v>
      </c>
      <c r="E389" s="286" t="s">
        <v>347</v>
      </c>
      <c r="F389" s="159">
        <f>F390</f>
        <v>4464</v>
      </c>
      <c r="G389" s="159"/>
      <c r="H389" s="522">
        <f>H390</f>
        <v>0</v>
      </c>
      <c r="I389" s="522"/>
      <c r="J389" s="522">
        <f>J390</f>
        <v>0</v>
      </c>
      <c r="K389" s="522"/>
      <c r="L389" s="154"/>
      <c r="N389" s="154"/>
      <c r="O389" s="154"/>
    </row>
    <row r="390" spans="1:15" s="177" customFormat="1" ht="31.5" x14ac:dyDescent="0.25">
      <c r="A390" s="253" t="s">
        <v>121</v>
      </c>
      <c r="B390" s="1" t="s">
        <v>5</v>
      </c>
      <c r="C390" s="4" t="s">
        <v>29</v>
      </c>
      <c r="D390" s="458" t="s">
        <v>682</v>
      </c>
      <c r="E390" s="286" t="s">
        <v>348</v>
      </c>
      <c r="F390" s="159">
        <f>'ведом. 2025-2027'!AD286</f>
        <v>4464</v>
      </c>
      <c r="G390" s="306"/>
      <c r="H390" s="522">
        <f>'ведом. 2025-2027'!AE286</f>
        <v>0</v>
      </c>
      <c r="I390" s="522"/>
      <c r="J390" s="522">
        <f>'ведом. 2025-2027'!AF286</f>
        <v>0</v>
      </c>
      <c r="K390" s="522"/>
      <c r="L390" s="154"/>
      <c r="N390" s="154"/>
      <c r="O390" s="154"/>
    </row>
    <row r="391" spans="1:15" s="177" customFormat="1" x14ac:dyDescent="0.25">
      <c r="A391" s="273" t="s">
        <v>641</v>
      </c>
      <c r="B391" s="1" t="s">
        <v>5</v>
      </c>
      <c r="C391" s="4" t="s">
        <v>29</v>
      </c>
      <c r="D391" s="291" t="s">
        <v>631</v>
      </c>
      <c r="E391" s="430"/>
      <c r="F391" s="159">
        <f>F392</f>
        <v>790</v>
      </c>
      <c r="G391" s="159"/>
      <c r="H391" s="522">
        <f t="shared" ref="H391:J395" si="79">H392</f>
        <v>0</v>
      </c>
      <c r="I391" s="522"/>
      <c r="J391" s="522">
        <f t="shared" si="79"/>
        <v>0</v>
      </c>
      <c r="K391" s="522"/>
      <c r="L391" s="154"/>
      <c r="N391" s="154"/>
      <c r="O391" s="154"/>
    </row>
    <row r="392" spans="1:15" s="177" customFormat="1" ht="31.5" x14ac:dyDescent="0.25">
      <c r="A392" s="273" t="s">
        <v>730</v>
      </c>
      <c r="B392" s="1" t="s">
        <v>5</v>
      </c>
      <c r="C392" s="4" t="s">
        <v>29</v>
      </c>
      <c r="D392" s="291" t="s">
        <v>731</v>
      </c>
      <c r="E392" s="525"/>
      <c r="F392" s="159">
        <f>F393</f>
        <v>790</v>
      </c>
      <c r="G392" s="159"/>
      <c r="H392" s="522">
        <f t="shared" si="79"/>
        <v>0</v>
      </c>
      <c r="I392" s="522"/>
      <c r="J392" s="522">
        <f t="shared" si="79"/>
        <v>0</v>
      </c>
      <c r="K392" s="522"/>
      <c r="L392" s="154"/>
      <c r="N392" s="154"/>
      <c r="O392" s="154"/>
    </row>
    <row r="393" spans="1:15" s="177" customFormat="1" x14ac:dyDescent="0.25">
      <c r="A393" s="275" t="s">
        <v>732</v>
      </c>
      <c r="B393" s="1" t="s">
        <v>5</v>
      </c>
      <c r="C393" s="4" t="s">
        <v>29</v>
      </c>
      <c r="D393" s="291" t="s">
        <v>733</v>
      </c>
      <c r="E393" s="525"/>
      <c r="F393" s="159">
        <f>F394</f>
        <v>790</v>
      </c>
      <c r="G393" s="159"/>
      <c r="H393" s="522">
        <f t="shared" si="79"/>
        <v>0</v>
      </c>
      <c r="I393" s="522"/>
      <c r="J393" s="522">
        <f t="shared" si="79"/>
        <v>0</v>
      </c>
      <c r="K393" s="522"/>
      <c r="L393" s="154"/>
      <c r="N393" s="154"/>
      <c r="O393" s="154"/>
    </row>
    <row r="394" spans="1:15" s="177" customFormat="1" ht="31.5" x14ac:dyDescent="0.25">
      <c r="A394" s="275" t="s">
        <v>734</v>
      </c>
      <c r="B394" s="1" t="s">
        <v>5</v>
      </c>
      <c r="C394" s="4" t="s">
        <v>29</v>
      </c>
      <c r="D394" s="291" t="s">
        <v>735</v>
      </c>
      <c r="E394" s="525"/>
      <c r="F394" s="159">
        <f>F395</f>
        <v>790</v>
      </c>
      <c r="G394" s="159"/>
      <c r="H394" s="522">
        <f t="shared" si="79"/>
        <v>0</v>
      </c>
      <c r="I394" s="522"/>
      <c r="J394" s="522">
        <f t="shared" si="79"/>
        <v>0</v>
      </c>
      <c r="K394" s="522"/>
      <c r="L394" s="154"/>
      <c r="N394" s="154"/>
      <c r="O394" s="154"/>
    </row>
    <row r="395" spans="1:15" s="177" customFormat="1" x14ac:dyDescent="0.25">
      <c r="A395" s="273" t="s">
        <v>120</v>
      </c>
      <c r="B395" s="1" t="s">
        <v>5</v>
      </c>
      <c r="C395" s="4" t="s">
        <v>29</v>
      </c>
      <c r="D395" s="291" t="s">
        <v>735</v>
      </c>
      <c r="E395" s="525" t="s">
        <v>37</v>
      </c>
      <c r="F395" s="159">
        <f>F396</f>
        <v>790</v>
      </c>
      <c r="G395" s="159"/>
      <c r="H395" s="522">
        <f t="shared" si="79"/>
        <v>0</v>
      </c>
      <c r="I395" s="522"/>
      <c r="J395" s="522">
        <f t="shared" si="79"/>
        <v>0</v>
      </c>
      <c r="K395" s="522"/>
      <c r="L395" s="154"/>
      <c r="N395" s="154"/>
      <c r="O395" s="154"/>
    </row>
    <row r="396" spans="1:15" s="177" customFormat="1" ht="31.5" x14ac:dyDescent="0.25">
      <c r="A396" s="273" t="s">
        <v>52</v>
      </c>
      <c r="B396" s="1" t="s">
        <v>5</v>
      </c>
      <c r="C396" s="4" t="s">
        <v>29</v>
      </c>
      <c r="D396" s="291" t="s">
        <v>735</v>
      </c>
      <c r="E396" s="525" t="s">
        <v>65</v>
      </c>
      <c r="F396" s="159">
        <f>'ведом. 2025-2027'!AD840</f>
        <v>790</v>
      </c>
      <c r="G396" s="306"/>
      <c r="H396" s="522">
        <f>'ведом. 2025-2027'!AE840</f>
        <v>0</v>
      </c>
      <c r="I396" s="522"/>
      <c r="J396" s="522">
        <f>'ведом. 2025-2027'!AF840</f>
        <v>0</v>
      </c>
      <c r="K396" s="522"/>
      <c r="L396" s="154"/>
      <c r="N396" s="154"/>
      <c r="O396" s="154"/>
    </row>
    <row r="397" spans="1:15" s="138" customFormat="1" x14ac:dyDescent="0.25">
      <c r="A397" s="375" t="s">
        <v>323</v>
      </c>
      <c r="B397" s="191" t="s">
        <v>5</v>
      </c>
      <c r="C397" s="4" t="s">
        <v>30</v>
      </c>
      <c r="D397" s="283"/>
      <c r="E397" s="328"/>
      <c r="F397" s="159">
        <f>F398+F439+F433</f>
        <v>961650.8</v>
      </c>
      <c r="G397" s="522">
        <f t="shared" ref="G397:K397" si="80">G398+G439+G433</f>
        <v>757508.79999999993</v>
      </c>
      <c r="H397" s="522">
        <f t="shared" si="80"/>
        <v>579541.49999999988</v>
      </c>
      <c r="I397" s="522">
        <f t="shared" si="80"/>
        <v>474624.69999999995</v>
      </c>
      <c r="J397" s="522">
        <f t="shared" si="80"/>
        <v>240743.3</v>
      </c>
      <c r="K397" s="522">
        <f t="shared" si="80"/>
        <v>196928</v>
      </c>
      <c r="L397" s="154"/>
      <c r="N397" s="154"/>
      <c r="O397" s="154"/>
    </row>
    <row r="398" spans="1:15" s="177" customFormat="1" ht="31.5" x14ac:dyDescent="0.25">
      <c r="A398" s="387" t="s">
        <v>587</v>
      </c>
      <c r="B398" s="195" t="s">
        <v>5</v>
      </c>
      <c r="C398" s="315" t="s">
        <v>30</v>
      </c>
      <c r="D398" s="156" t="s">
        <v>111</v>
      </c>
      <c r="E398" s="339"/>
      <c r="F398" s="159">
        <f t="shared" ref="F398:K398" si="81">F399+F425</f>
        <v>931057.70000000007</v>
      </c>
      <c r="G398" s="522">
        <f t="shared" si="81"/>
        <v>757023.7</v>
      </c>
      <c r="H398" s="522">
        <f t="shared" si="81"/>
        <v>579541.49999999988</v>
      </c>
      <c r="I398" s="522">
        <f t="shared" si="81"/>
        <v>474624.69999999995</v>
      </c>
      <c r="J398" s="522">
        <f t="shared" si="81"/>
        <v>240743.3</v>
      </c>
      <c r="K398" s="522">
        <f t="shared" si="81"/>
        <v>196928</v>
      </c>
      <c r="L398" s="154"/>
      <c r="N398" s="154"/>
      <c r="O398" s="154"/>
    </row>
    <row r="399" spans="1:15" s="177" customFormat="1" x14ac:dyDescent="0.25">
      <c r="A399" s="387" t="s">
        <v>529</v>
      </c>
      <c r="B399" s="195" t="s">
        <v>5</v>
      </c>
      <c r="C399" s="315" t="s">
        <v>30</v>
      </c>
      <c r="D399" s="156" t="s">
        <v>389</v>
      </c>
      <c r="E399" s="339"/>
      <c r="F399" s="159">
        <f t="shared" ref="F399:K399" si="82">F400+F418</f>
        <v>909057.70000000007</v>
      </c>
      <c r="G399" s="159">
        <f t="shared" si="82"/>
        <v>740523.7</v>
      </c>
      <c r="H399" s="522">
        <f t="shared" si="82"/>
        <v>579541.49999999988</v>
      </c>
      <c r="I399" s="522">
        <f t="shared" si="82"/>
        <v>474624.69999999995</v>
      </c>
      <c r="J399" s="522">
        <f t="shared" si="82"/>
        <v>240743.3</v>
      </c>
      <c r="K399" s="522">
        <f t="shared" si="82"/>
        <v>196928</v>
      </c>
      <c r="L399" s="154"/>
      <c r="N399" s="154"/>
      <c r="O399" s="154"/>
    </row>
    <row r="400" spans="1:15" s="177" customFormat="1" ht="31.5" x14ac:dyDescent="0.25">
      <c r="A400" s="387" t="s">
        <v>443</v>
      </c>
      <c r="B400" s="195" t="s">
        <v>5</v>
      </c>
      <c r="C400" s="315" t="s">
        <v>30</v>
      </c>
      <c r="D400" s="310" t="s">
        <v>442</v>
      </c>
      <c r="E400" s="339"/>
      <c r="F400" s="159">
        <f t="shared" ref="F400:K400" si="83">F401+F415+F405</f>
        <v>421332.9</v>
      </c>
      <c r="G400" s="522">
        <f t="shared" si="83"/>
        <v>343527.1</v>
      </c>
      <c r="H400" s="522">
        <f t="shared" si="83"/>
        <v>516554.29999999993</v>
      </c>
      <c r="I400" s="522">
        <f t="shared" si="83"/>
        <v>422912.19999999995</v>
      </c>
      <c r="J400" s="522">
        <f t="shared" si="83"/>
        <v>240743.3</v>
      </c>
      <c r="K400" s="522">
        <f t="shared" si="83"/>
        <v>196928</v>
      </c>
      <c r="L400" s="154"/>
      <c r="N400" s="154"/>
      <c r="O400" s="154"/>
    </row>
    <row r="401" spans="1:15" s="177" customFormat="1" x14ac:dyDescent="0.25">
      <c r="A401" s="478" t="s">
        <v>549</v>
      </c>
      <c r="B401" s="195" t="s">
        <v>5</v>
      </c>
      <c r="C401" s="315" t="s">
        <v>30</v>
      </c>
      <c r="D401" s="488" t="s">
        <v>648</v>
      </c>
      <c r="E401" s="339"/>
      <c r="F401" s="159">
        <f>F402</f>
        <v>115439.79999999999</v>
      </c>
      <c r="G401" s="522">
        <f t="shared" ref="G401:J401" si="84">G402</f>
        <v>93304.7</v>
      </c>
      <c r="H401" s="522">
        <f t="shared" si="84"/>
        <v>0</v>
      </c>
      <c r="I401" s="522"/>
      <c r="J401" s="522">
        <f t="shared" si="84"/>
        <v>0</v>
      </c>
      <c r="K401" s="522"/>
      <c r="L401" s="154"/>
      <c r="N401" s="154"/>
      <c r="O401" s="154"/>
    </row>
    <row r="402" spans="1:15" s="519" customFormat="1" ht="31.5" x14ac:dyDescent="0.25">
      <c r="A402" s="478" t="s">
        <v>721</v>
      </c>
      <c r="B402" s="195" t="s">
        <v>5</v>
      </c>
      <c r="C402" s="315" t="s">
        <v>30</v>
      </c>
      <c r="D402" s="488" t="s">
        <v>720</v>
      </c>
      <c r="E402" s="339"/>
      <c r="F402" s="522">
        <f>F403</f>
        <v>115439.79999999999</v>
      </c>
      <c r="G402" s="522">
        <f t="shared" ref="G402:J402" si="85">G403</f>
        <v>93304.7</v>
      </c>
      <c r="H402" s="522">
        <f t="shared" si="85"/>
        <v>0</v>
      </c>
      <c r="I402" s="522"/>
      <c r="J402" s="522">
        <f t="shared" si="85"/>
        <v>0</v>
      </c>
      <c r="K402" s="522"/>
      <c r="L402" s="521"/>
      <c r="N402" s="521"/>
      <c r="O402" s="521"/>
    </row>
    <row r="403" spans="1:15" s="177" customFormat="1" x14ac:dyDescent="0.25">
      <c r="A403" s="489" t="s">
        <v>417</v>
      </c>
      <c r="B403" s="195" t="s">
        <v>5</v>
      </c>
      <c r="C403" s="315" t="s">
        <v>30</v>
      </c>
      <c r="D403" s="488" t="s">
        <v>720</v>
      </c>
      <c r="E403" s="328" t="s">
        <v>154</v>
      </c>
      <c r="F403" s="159">
        <f>'ведом. 2025-2027'!AD848</f>
        <v>115439.79999999999</v>
      </c>
      <c r="G403" s="306">
        <f>G404</f>
        <v>93304.7</v>
      </c>
      <c r="H403" s="522">
        <f>H404</f>
        <v>0</v>
      </c>
      <c r="I403" s="522"/>
      <c r="J403" s="522">
        <f>J404</f>
        <v>0</v>
      </c>
      <c r="K403" s="522"/>
      <c r="L403" s="154"/>
      <c r="N403" s="154"/>
      <c r="O403" s="154"/>
    </row>
    <row r="404" spans="1:15" s="177" customFormat="1" x14ac:dyDescent="0.25">
      <c r="A404" s="451" t="s">
        <v>9</v>
      </c>
      <c r="B404" s="195" t="s">
        <v>5</v>
      </c>
      <c r="C404" s="315" t="s">
        <v>30</v>
      </c>
      <c r="D404" s="488" t="s">
        <v>720</v>
      </c>
      <c r="E404" s="328" t="s">
        <v>155</v>
      </c>
      <c r="F404" s="159">
        <f>'ведом. 2025-2027'!AD848</f>
        <v>115439.79999999999</v>
      </c>
      <c r="G404" s="306">
        <f>85487.4+7817.3</f>
        <v>93304.7</v>
      </c>
      <c r="H404" s="522">
        <f>'ведом. 2025-2027'!AE848</f>
        <v>0</v>
      </c>
      <c r="I404" s="522"/>
      <c r="J404" s="522">
        <f>'ведом. 2025-2027'!AF848</f>
        <v>0</v>
      </c>
      <c r="K404" s="522"/>
      <c r="L404" s="154"/>
      <c r="N404" s="154"/>
      <c r="O404" s="154"/>
    </row>
    <row r="405" spans="1:15" s="519" customFormat="1" ht="31.5" x14ac:dyDescent="0.25">
      <c r="A405" s="451" t="s">
        <v>654</v>
      </c>
      <c r="B405" s="453" t="s">
        <v>5</v>
      </c>
      <c r="C405" s="454" t="s">
        <v>30</v>
      </c>
      <c r="D405" s="488" t="s">
        <v>653</v>
      </c>
      <c r="E405" s="468"/>
      <c r="F405" s="522">
        <f>F406+F409+F412</f>
        <v>621.20000000000005</v>
      </c>
      <c r="G405" s="522">
        <f t="shared" ref="G405:K405" si="86">G406+G409+G412</f>
        <v>510</v>
      </c>
      <c r="H405" s="522">
        <f t="shared" si="86"/>
        <v>295713.39999999997</v>
      </c>
      <c r="I405" s="522">
        <f t="shared" si="86"/>
        <v>242264.39999999997</v>
      </c>
      <c r="J405" s="522">
        <f t="shared" si="86"/>
        <v>240743.3</v>
      </c>
      <c r="K405" s="522">
        <f t="shared" si="86"/>
        <v>196928</v>
      </c>
      <c r="L405" s="521"/>
      <c r="M405" s="521"/>
      <c r="N405" s="521"/>
      <c r="O405" s="521"/>
    </row>
    <row r="406" spans="1:15" s="519" customFormat="1" ht="47.25" x14ac:dyDescent="0.25">
      <c r="A406" s="478" t="s">
        <v>718</v>
      </c>
      <c r="B406" s="453" t="s">
        <v>5</v>
      </c>
      <c r="C406" s="454" t="s">
        <v>30</v>
      </c>
      <c r="D406" s="488" t="s">
        <v>716</v>
      </c>
      <c r="E406" s="468"/>
      <c r="F406" s="522">
        <f>F407</f>
        <v>0</v>
      </c>
      <c r="G406" s="522"/>
      <c r="H406" s="522">
        <f t="shared" ref="H406:K406" si="87">H407</f>
        <v>51481.299999999996</v>
      </c>
      <c r="I406" s="522">
        <f t="shared" si="87"/>
        <v>42111.7</v>
      </c>
      <c r="J406" s="522">
        <f t="shared" si="87"/>
        <v>120123</v>
      </c>
      <c r="K406" s="522">
        <f t="shared" si="87"/>
        <v>98260.6</v>
      </c>
      <c r="L406" s="521"/>
      <c r="N406" s="521"/>
      <c r="O406" s="521"/>
    </row>
    <row r="407" spans="1:15" s="519" customFormat="1" x14ac:dyDescent="0.25">
      <c r="A407" s="489" t="s">
        <v>417</v>
      </c>
      <c r="B407" s="453" t="s">
        <v>5</v>
      </c>
      <c r="C407" s="454" t="s">
        <v>30</v>
      </c>
      <c r="D407" s="488" t="s">
        <v>716</v>
      </c>
      <c r="E407" s="468" t="s">
        <v>154</v>
      </c>
      <c r="F407" s="522">
        <f>F408</f>
        <v>0</v>
      </c>
      <c r="G407" s="522"/>
      <c r="H407" s="522">
        <f t="shared" ref="H407:K407" si="88">H408</f>
        <v>51481.299999999996</v>
      </c>
      <c r="I407" s="522">
        <f t="shared" si="88"/>
        <v>42111.7</v>
      </c>
      <c r="J407" s="522">
        <f t="shared" si="88"/>
        <v>120123</v>
      </c>
      <c r="K407" s="522">
        <f t="shared" si="88"/>
        <v>98260.6</v>
      </c>
      <c r="L407" s="521"/>
      <c r="N407" s="521"/>
      <c r="O407" s="521"/>
    </row>
    <row r="408" spans="1:15" s="519" customFormat="1" x14ac:dyDescent="0.25">
      <c r="A408" s="451" t="s">
        <v>9</v>
      </c>
      <c r="B408" s="453" t="s">
        <v>5</v>
      </c>
      <c r="C408" s="454" t="s">
        <v>30</v>
      </c>
      <c r="D408" s="488" t="s">
        <v>716</v>
      </c>
      <c r="E408" s="468" t="s">
        <v>155</v>
      </c>
      <c r="F408" s="522">
        <f>'ведом. 2025-2027'!AD852</f>
        <v>0</v>
      </c>
      <c r="G408" s="522"/>
      <c r="H408" s="522">
        <f>'ведом. 2025-2027'!AE852</f>
        <v>51481.299999999996</v>
      </c>
      <c r="I408" s="522">
        <v>42111.7</v>
      </c>
      <c r="J408" s="522">
        <f>'ведом. 2025-2027'!AF852</f>
        <v>120123</v>
      </c>
      <c r="K408" s="522">
        <v>98260.6</v>
      </c>
      <c r="L408" s="521"/>
      <c r="M408" s="521"/>
      <c r="N408" s="521"/>
      <c r="O408" s="521"/>
    </row>
    <row r="409" spans="1:15" s="519" customFormat="1" ht="47.25" x14ac:dyDescent="0.25">
      <c r="A409" s="451" t="s">
        <v>719</v>
      </c>
      <c r="B409" s="453" t="s">
        <v>5</v>
      </c>
      <c r="C409" s="454" t="s">
        <v>30</v>
      </c>
      <c r="D409" s="488" t="s">
        <v>717</v>
      </c>
      <c r="E409" s="468"/>
      <c r="F409" s="522">
        <f>F410</f>
        <v>0</v>
      </c>
      <c r="G409" s="522"/>
      <c r="H409" s="522">
        <f t="shared" ref="H409:K409" si="89">H410</f>
        <v>120620.29999999999</v>
      </c>
      <c r="I409" s="522">
        <f t="shared" si="89"/>
        <v>98667.4</v>
      </c>
      <c r="J409" s="522">
        <f t="shared" si="89"/>
        <v>120620.29999999999</v>
      </c>
      <c r="K409" s="522">
        <f t="shared" si="89"/>
        <v>98667.4</v>
      </c>
      <c r="L409" s="521"/>
      <c r="N409" s="521"/>
      <c r="O409" s="521"/>
    </row>
    <row r="410" spans="1:15" s="519" customFormat="1" x14ac:dyDescent="0.25">
      <c r="A410" s="489" t="s">
        <v>417</v>
      </c>
      <c r="B410" s="453" t="s">
        <v>5</v>
      </c>
      <c r="C410" s="454" t="s">
        <v>30</v>
      </c>
      <c r="D410" s="488" t="s">
        <v>717</v>
      </c>
      <c r="E410" s="468" t="s">
        <v>154</v>
      </c>
      <c r="F410" s="522">
        <f>F411</f>
        <v>0</v>
      </c>
      <c r="G410" s="522"/>
      <c r="H410" s="522">
        <f t="shared" ref="H410:K410" si="90">H411</f>
        <v>120620.29999999999</v>
      </c>
      <c r="I410" s="522">
        <f t="shared" si="90"/>
        <v>98667.4</v>
      </c>
      <c r="J410" s="522">
        <f t="shared" si="90"/>
        <v>120620.29999999999</v>
      </c>
      <c r="K410" s="522">
        <f t="shared" si="90"/>
        <v>98667.4</v>
      </c>
      <c r="L410" s="521"/>
      <c r="N410" s="521"/>
      <c r="O410" s="521"/>
    </row>
    <row r="411" spans="1:15" s="519" customFormat="1" x14ac:dyDescent="0.25">
      <c r="A411" s="451" t="s">
        <v>9</v>
      </c>
      <c r="B411" s="453" t="s">
        <v>5</v>
      </c>
      <c r="C411" s="454" t="s">
        <v>30</v>
      </c>
      <c r="D411" s="488" t="s">
        <v>717</v>
      </c>
      <c r="E411" s="468" t="s">
        <v>155</v>
      </c>
      <c r="F411" s="522">
        <f>'ведом. 2025-2027'!AD855</f>
        <v>0</v>
      </c>
      <c r="G411" s="524"/>
      <c r="H411" s="522">
        <f>'ведом. 2025-2027'!AE855</f>
        <v>120620.29999999999</v>
      </c>
      <c r="I411" s="522">
        <v>98667.4</v>
      </c>
      <c r="J411" s="522">
        <f>'ведом. 2025-2027'!AF855</f>
        <v>120620.29999999999</v>
      </c>
      <c r="K411" s="522">
        <v>98667.4</v>
      </c>
      <c r="L411" s="521"/>
      <c r="M411" s="521"/>
      <c r="N411" s="521"/>
      <c r="O411" s="521"/>
    </row>
    <row r="412" spans="1:15" s="519" customFormat="1" ht="47.25" x14ac:dyDescent="0.25">
      <c r="A412" s="451" t="s">
        <v>839</v>
      </c>
      <c r="B412" s="453" t="s">
        <v>5</v>
      </c>
      <c r="C412" s="453" t="s">
        <v>30</v>
      </c>
      <c r="D412" s="555" t="s">
        <v>840</v>
      </c>
      <c r="E412" s="473"/>
      <c r="F412" s="522">
        <f>F413</f>
        <v>621.20000000000005</v>
      </c>
      <c r="G412" s="522">
        <f t="shared" ref="G412:J413" si="91">G413</f>
        <v>510</v>
      </c>
      <c r="H412" s="522">
        <f t="shared" si="91"/>
        <v>123611.8</v>
      </c>
      <c r="I412" s="522">
        <f t="shared" si="91"/>
        <v>101485.3</v>
      </c>
      <c r="J412" s="522">
        <f t="shared" si="91"/>
        <v>0</v>
      </c>
      <c r="K412" s="522"/>
      <c r="L412" s="521"/>
      <c r="M412" s="521"/>
      <c r="N412" s="521"/>
      <c r="O412" s="521"/>
    </row>
    <row r="413" spans="1:15" s="519" customFormat="1" x14ac:dyDescent="0.25">
      <c r="A413" s="668" t="s">
        <v>417</v>
      </c>
      <c r="B413" s="453" t="s">
        <v>5</v>
      </c>
      <c r="C413" s="453" t="s">
        <v>30</v>
      </c>
      <c r="D413" s="555" t="s">
        <v>840</v>
      </c>
      <c r="E413" s="473" t="s">
        <v>154</v>
      </c>
      <c r="F413" s="522">
        <f>F414</f>
        <v>621.20000000000005</v>
      </c>
      <c r="G413" s="522">
        <f t="shared" si="91"/>
        <v>510</v>
      </c>
      <c r="H413" s="522">
        <f t="shared" si="91"/>
        <v>123611.8</v>
      </c>
      <c r="I413" s="522">
        <f t="shared" si="91"/>
        <v>101485.3</v>
      </c>
      <c r="J413" s="708">
        <f t="shared" si="91"/>
        <v>0</v>
      </c>
      <c r="K413" s="635"/>
      <c r="L413" s="506"/>
      <c r="M413" s="521"/>
      <c r="N413" s="521"/>
      <c r="O413" s="521"/>
    </row>
    <row r="414" spans="1:15" s="519" customFormat="1" x14ac:dyDescent="0.25">
      <c r="A414" s="451" t="s">
        <v>9</v>
      </c>
      <c r="B414" s="453" t="s">
        <v>5</v>
      </c>
      <c r="C414" s="453" t="s">
        <v>30</v>
      </c>
      <c r="D414" s="555" t="s">
        <v>840</v>
      </c>
      <c r="E414" s="473" t="s">
        <v>155</v>
      </c>
      <c r="F414" s="522">
        <f>'ведом. 2025-2027'!AD858</f>
        <v>621.20000000000005</v>
      </c>
      <c r="G414" s="524">
        <v>510</v>
      </c>
      <c r="H414" s="522">
        <f>'ведом. 2025-2027'!AE858</f>
        <v>123611.8</v>
      </c>
      <c r="I414" s="522">
        <v>101485.3</v>
      </c>
      <c r="J414" s="522">
        <v>0</v>
      </c>
      <c r="K414" s="522"/>
      <c r="L414" s="521"/>
      <c r="M414" s="521"/>
      <c r="N414" s="521"/>
      <c r="O414" s="521"/>
    </row>
    <row r="415" spans="1:15" s="519" customFormat="1" x14ac:dyDescent="0.25">
      <c r="A415" s="253" t="s">
        <v>639</v>
      </c>
      <c r="B415" s="436" t="s">
        <v>5</v>
      </c>
      <c r="C415" s="437" t="s">
        <v>30</v>
      </c>
      <c r="D415" s="488" t="s">
        <v>646</v>
      </c>
      <c r="E415" s="430"/>
      <c r="F415" s="440">
        <f>F416</f>
        <v>305271.90000000002</v>
      </c>
      <c r="G415" s="440">
        <f t="shared" ref="G415:J416" si="92">G416</f>
        <v>249712.4</v>
      </c>
      <c r="H415" s="522">
        <f t="shared" si="92"/>
        <v>220840.9</v>
      </c>
      <c r="I415" s="522">
        <f t="shared" si="92"/>
        <v>180647.8</v>
      </c>
      <c r="J415" s="522">
        <f t="shared" si="92"/>
        <v>0</v>
      </c>
      <c r="K415" s="522"/>
      <c r="L415" s="521"/>
      <c r="N415" s="521"/>
      <c r="O415" s="521"/>
    </row>
    <row r="416" spans="1:15" s="519" customFormat="1" x14ac:dyDescent="0.25">
      <c r="A416" s="253" t="s">
        <v>120</v>
      </c>
      <c r="B416" s="436" t="s">
        <v>5</v>
      </c>
      <c r="C416" s="437" t="s">
        <v>30</v>
      </c>
      <c r="D416" s="488" t="s">
        <v>646</v>
      </c>
      <c r="E416" s="430" t="s">
        <v>37</v>
      </c>
      <c r="F416" s="440">
        <f>F417</f>
        <v>305271.90000000002</v>
      </c>
      <c r="G416" s="440">
        <f t="shared" si="92"/>
        <v>249712.4</v>
      </c>
      <c r="H416" s="522">
        <f t="shared" si="92"/>
        <v>220840.9</v>
      </c>
      <c r="I416" s="522">
        <f t="shared" si="92"/>
        <v>180647.8</v>
      </c>
      <c r="J416" s="522">
        <f t="shared" si="92"/>
        <v>0</v>
      </c>
      <c r="K416" s="522"/>
      <c r="L416" s="521"/>
      <c r="N416" s="521"/>
      <c r="O416" s="521"/>
    </row>
    <row r="417" spans="1:24" s="519" customFormat="1" ht="31.5" x14ac:dyDescent="0.25">
      <c r="A417" s="253" t="s">
        <v>52</v>
      </c>
      <c r="B417" s="436" t="s">
        <v>5</v>
      </c>
      <c r="C417" s="437" t="s">
        <v>30</v>
      </c>
      <c r="D417" s="488" t="s">
        <v>646</v>
      </c>
      <c r="E417" s="430" t="s">
        <v>65</v>
      </c>
      <c r="F417" s="440">
        <f>'ведом. 2025-2027'!AD861</f>
        <v>305271.90000000002</v>
      </c>
      <c r="G417" s="306">
        <v>249712.4</v>
      </c>
      <c r="H417" s="522">
        <f>'ведом. 2025-2027'!AE861</f>
        <v>220840.9</v>
      </c>
      <c r="I417" s="522">
        <v>180647.8</v>
      </c>
      <c r="J417" s="522">
        <f>'ведом. 2025-2027'!AF861</f>
        <v>0</v>
      </c>
      <c r="K417" s="522"/>
      <c r="L417" s="521"/>
      <c r="M417" s="521"/>
      <c r="N417" s="521"/>
      <c r="O417" s="521"/>
    </row>
    <row r="418" spans="1:24" s="177" customFormat="1" ht="47.25" x14ac:dyDescent="0.25">
      <c r="A418" s="523" t="s">
        <v>727</v>
      </c>
      <c r="B418" s="1" t="s">
        <v>5</v>
      </c>
      <c r="C418" s="4" t="s">
        <v>30</v>
      </c>
      <c r="D418" s="291" t="s">
        <v>626</v>
      </c>
      <c r="E418" s="430"/>
      <c r="F418" s="159">
        <f>F422+F419</f>
        <v>487724.80000000005</v>
      </c>
      <c r="G418" s="522">
        <f t="shared" ref="G418:J418" si="93">G422</f>
        <v>396996.60000000003</v>
      </c>
      <c r="H418" s="522">
        <f t="shared" si="93"/>
        <v>62987.199999999997</v>
      </c>
      <c r="I418" s="522">
        <f t="shared" si="93"/>
        <v>51712.5</v>
      </c>
      <c r="J418" s="522">
        <f t="shared" si="93"/>
        <v>0</v>
      </c>
      <c r="K418" s="522"/>
      <c r="L418" s="154"/>
      <c r="N418" s="154"/>
      <c r="O418" s="154"/>
    </row>
    <row r="419" spans="1:24" s="519" customFormat="1" ht="31.5" x14ac:dyDescent="0.25">
      <c r="A419" s="479" t="s">
        <v>784</v>
      </c>
      <c r="B419" s="453" t="s">
        <v>5</v>
      </c>
      <c r="C419" s="453" t="s">
        <v>30</v>
      </c>
      <c r="D419" s="542" t="s">
        <v>783</v>
      </c>
      <c r="E419" s="473"/>
      <c r="F419" s="522">
        <f>F420</f>
        <v>2400</v>
      </c>
      <c r="G419" s="522"/>
      <c r="H419" s="522">
        <f t="shared" ref="H419:J420" si="94">H420</f>
        <v>0</v>
      </c>
      <c r="I419" s="522"/>
      <c r="J419" s="522">
        <f t="shared" si="94"/>
        <v>0</v>
      </c>
      <c r="K419" s="522"/>
      <c r="L419" s="521"/>
      <c r="N419" s="521"/>
      <c r="O419" s="521"/>
    </row>
    <row r="420" spans="1:24" s="519" customFormat="1" x14ac:dyDescent="0.25">
      <c r="A420" s="479" t="s">
        <v>120</v>
      </c>
      <c r="B420" s="453" t="s">
        <v>5</v>
      </c>
      <c r="C420" s="453" t="s">
        <v>30</v>
      </c>
      <c r="D420" s="542" t="s">
        <v>783</v>
      </c>
      <c r="E420" s="473" t="s">
        <v>37</v>
      </c>
      <c r="F420" s="522">
        <f>F421</f>
        <v>2400</v>
      </c>
      <c r="G420" s="522"/>
      <c r="H420" s="522">
        <f t="shared" si="94"/>
        <v>0</v>
      </c>
      <c r="I420" s="522"/>
      <c r="J420" s="522">
        <f t="shared" si="94"/>
        <v>0</v>
      </c>
      <c r="K420" s="522"/>
      <c r="L420" s="521"/>
      <c r="N420" s="521"/>
      <c r="O420" s="521"/>
    </row>
    <row r="421" spans="1:24" s="519" customFormat="1" ht="31.5" x14ac:dyDescent="0.25">
      <c r="A421" s="479" t="s">
        <v>52</v>
      </c>
      <c r="B421" s="453" t="s">
        <v>5</v>
      </c>
      <c r="C421" s="453" t="s">
        <v>30</v>
      </c>
      <c r="D421" s="542" t="s">
        <v>783</v>
      </c>
      <c r="E421" s="473" t="s">
        <v>65</v>
      </c>
      <c r="F421" s="522">
        <f>'ведом. 2025-2027'!AD865</f>
        <v>2400</v>
      </c>
      <c r="G421" s="522"/>
      <c r="H421" s="522">
        <f>'ведом. 2025-2027'!AF865</f>
        <v>0</v>
      </c>
      <c r="I421" s="522"/>
      <c r="J421" s="522">
        <f>'ведом. 2025-2027'!AH865</f>
        <v>0</v>
      </c>
      <c r="K421" s="522"/>
      <c r="L421" s="521"/>
      <c r="N421" s="521"/>
      <c r="O421" s="521"/>
    </row>
    <row r="422" spans="1:24" s="438" customFormat="1" ht="31.5" x14ac:dyDescent="0.25">
      <c r="A422" s="253" t="s">
        <v>640</v>
      </c>
      <c r="B422" s="436" t="s">
        <v>5</v>
      </c>
      <c r="C422" s="437" t="s">
        <v>30</v>
      </c>
      <c r="D422" s="488" t="s">
        <v>647</v>
      </c>
      <c r="E422" s="430"/>
      <c r="F422" s="440">
        <f t="shared" ref="F422:J423" si="95">F423</f>
        <v>485324.80000000005</v>
      </c>
      <c r="G422" s="440">
        <f t="shared" si="95"/>
        <v>396996.60000000003</v>
      </c>
      <c r="H422" s="522">
        <f t="shared" si="95"/>
        <v>62987.199999999997</v>
      </c>
      <c r="I422" s="522">
        <f>I423</f>
        <v>51712.5</v>
      </c>
      <c r="J422" s="522">
        <f t="shared" si="95"/>
        <v>0</v>
      </c>
      <c r="K422" s="522"/>
      <c r="L422" s="154"/>
      <c r="N422" s="154"/>
      <c r="O422" s="154"/>
    </row>
    <row r="423" spans="1:24" s="438" customFormat="1" x14ac:dyDescent="0.25">
      <c r="A423" s="253" t="s">
        <v>120</v>
      </c>
      <c r="B423" s="436" t="s">
        <v>5</v>
      </c>
      <c r="C423" s="437" t="s">
        <v>30</v>
      </c>
      <c r="D423" s="488" t="s">
        <v>647</v>
      </c>
      <c r="E423" s="430" t="s">
        <v>37</v>
      </c>
      <c r="F423" s="440">
        <f t="shared" si="95"/>
        <v>485324.80000000005</v>
      </c>
      <c r="G423" s="440">
        <f t="shared" si="95"/>
        <v>396996.60000000003</v>
      </c>
      <c r="H423" s="522">
        <f t="shared" si="95"/>
        <v>62987.199999999997</v>
      </c>
      <c r="I423" s="522">
        <f>I424</f>
        <v>51712.5</v>
      </c>
      <c r="J423" s="522">
        <f t="shared" si="95"/>
        <v>0</v>
      </c>
      <c r="K423" s="522"/>
      <c r="L423" s="154"/>
      <c r="N423" s="154"/>
      <c r="O423" s="154"/>
    </row>
    <row r="424" spans="1:24" s="438" customFormat="1" ht="31.5" x14ac:dyDescent="0.25">
      <c r="A424" s="253" t="s">
        <v>52</v>
      </c>
      <c r="B424" s="436" t="s">
        <v>5</v>
      </c>
      <c r="C424" s="437" t="s">
        <v>30</v>
      </c>
      <c r="D424" s="488" t="s">
        <v>647</v>
      </c>
      <c r="E424" s="430" t="s">
        <v>65</v>
      </c>
      <c r="F424" s="440">
        <f>'ведом. 2025-2027'!AD868</f>
        <v>485324.80000000005</v>
      </c>
      <c r="G424" s="306">
        <f>396736.7+259.9</f>
        <v>396996.60000000003</v>
      </c>
      <c r="H424" s="522">
        <f>'ведом. 2025-2027'!AE868</f>
        <v>62987.199999999997</v>
      </c>
      <c r="I424" s="522">
        <v>51712.5</v>
      </c>
      <c r="J424" s="522">
        <f>'ведом. 2025-2027'!AF868</f>
        <v>0</v>
      </c>
      <c r="K424" s="522"/>
      <c r="L424" s="154"/>
      <c r="N424" s="154"/>
      <c r="O424" s="154"/>
    </row>
    <row r="425" spans="1:24" s="155" customFormat="1" x14ac:dyDescent="0.25">
      <c r="A425" s="451" t="s">
        <v>665</v>
      </c>
      <c r="B425" s="515" t="s">
        <v>5</v>
      </c>
      <c r="C425" s="516" t="s">
        <v>30</v>
      </c>
      <c r="D425" s="458" t="s">
        <v>666</v>
      </c>
      <c r="E425" s="468"/>
      <c r="F425" s="522">
        <f>F426</f>
        <v>22000</v>
      </c>
      <c r="G425" s="522">
        <f t="shared" ref="G425:J431" si="96">G426</f>
        <v>16500</v>
      </c>
      <c r="H425" s="522">
        <f t="shared" si="96"/>
        <v>0</v>
      </c>
      <c r="I425" s="522"/>
      <c r="J425" s="522">
        <f t="shared" si="96"/>
        <v>0</v>
      </c>
      <c r="K425" s="522"/>
      <c r="L425" s="521"/>
      <c r="N425" s="521"/>
      <c r="O425" s="521"/>
      <c r="R425" s="21"/>
      <c r="S425" s="207"/>
      <c r="T425" s="208"/>
      <c r="U425" s="208"/>
      <c r="V425" s="209"/>
      <c r="W425" s="209"/>
      <c r="X425" s="210"/>
    </row>
    <row r="426" spans="1:24" s="155" customFormat="1" ht="31.5" x14ac:dyDescent="0.25">
      <c r="A426" s="451" t="s">
        <v>668</v>
      </c>
      <c r="B426" s="515" t="s">
        <v>5</v>
      </c>
      <c r="C426" s="516" t="s">
        <v>30</v>
      </c>
      <c r="D426" s="458" t="s">
        <v>667</v>
      </c>
      <c r="E426" s="468"/>
      <c r="F426" s="522">
        <f>F430+F427</f>
        <v>22000</v>
      </c>
      <c r="G426" s="522">
        <f t="shared" ref="G426:J426" si="97">G430+G427</f>
        <v>16500</v>
      </c>
      <c r="H426" s="522">
        <f t="shared" si="97"/>
        <v>0</v>
      </c>
      <c r="I426" s="522"/>
      <c r="J426" s="522">
        <f t="shared" si="97"/>
        <v>0</v>
      </c>
      <c r="K426" s="522"/>
      <c r="L426" s="521"/>
      <c r="N426" s="521"/>
      <c r="O426" s="521"/>
      <c r="R426" s="21"/>
      <c r="S426" s="207"/>
      <c r="T426" s="208"/>
      <c r="U426" s="208"/>
      <c r="V426" s="209"/>
      <c r="W426" s="209"/>
      <c r="X426" s="210"/>
    </row>
    <row r="427" spans="1:24" s="155" customFormat="1" ht="31.5" x14ac:dyDescent="0.25">
      <c r="A427" s="451" t="s">
        <v>846</v>
      </c>
      <c r="B427" s="453" t="s">
        <v>5</v>
      </c>
      <c r="C427" s="453" t="s">
        <v>30</v>
      </c>
      <c r="D427" s="542" t="s">
        <v>847</v>
      </c>
      <c r="E427" s="473"/>
      <c r="F427" s="522">
        <f>F428</f>
        <v>5500</v>
      </c>
      <c r="G427" s="522"/>
      <c r="H427" s="522">
        <f t="shared" ref="H427:J428" si="98">H428</f>
        <v>0</v>
      </c>
      <c r="I427" s="522"/>
      <c r="J427" s="522">
        <f t="shared" si="98"/>
        <v>0</v>
      </c>
      <c r="K427" s="522"/>
      <c r="L427" s="521"/>
      <c r="N427" s="521"/>
      <c r="O427" s="521"/>
      <c r="R427" s="21"/>
      <c r="S427" s="207"/>
      <c r="T427" s="208"/>
      <c r="U427" s="208"/>
      <c r="V427" s="209"/>
      <c r="W427" s="209"/>
      <c r="X427" s="210"/>
    </row>
    <row r="428" spans="1:24" s="155" customFormat="1" x14ac:dyDescent="0.25">
      <c r="A428" s="451" t="s">
        <v>120</v>
      </c>
      <c r="B428" s="453" t="s">
        <v>5</v>
      </c>
      <c r="C428" s="453" t="s">
        <v>30</v>
      </c>
      <c r="D428" s="542" t="s">
        <v>847</v>
      </c>
      <c r="E428" s="473" t="s">
        <v>37</v>
      </c>
      <c r="F428" s="522">
        <f>F429</f>
        <v>5500</v>
      </c>
      <c r="G428" s="522"/>
      <c r="H428" s="522">
        <f t="shared" si="98"/>
        <v>0</v>
      </c>
      <c r="I428" s="522"/>
      <c r="J428" s="522">
        <f t="shared" si="98"/>
        <v>0</v>
      </c>
      <c r="K428" s="522"/>
      <c r="L428" s="521"/>
      <c r="N428" s="521"/>
      <c r="O428" s="521"/>
      <c r="R428" s="21"/>
      <c r="S428" s="207"/>
      <c r="T428" s="208"/>
      <c r="U428" s="208"/>
      <c r="V428" s="209"/>
      <c r="W428" s="209"/>
      <c r="X428" s="210"/>
    </row>
    <row r="429" spans="1:24" s="155" customFormat="1" ht="31.5" x14ac:dyDescent="0.25">
      <c r="A429" s="451" t="s">
        <v>52</v>
      </c>
      <c r="B429" s="453" t="s">
        <v>5</v>
      </c>
      <c r="C429" s="453" t="s">
        <v>30</v>
      </c>
      <c r="D429" s="542" t="s">
        <v>847</v>
      </c>
      <c r="E429" s="473" t="s">
        <v>65</v>
      </c>
      <c r="F429" s="522">
        <f>'ведом. 2025-2027'!AD873</f>
        <v>5500</v>
      </c>
      <c r="G429" s="522"/>
      <c r="H429" s="522">
        <f>'ведом. 2025-2027'!AE873</f>
        <v>0</v>
      </c>
      <c r="I429" s="522"/>
      <c r="J429" s="522">
        <f>'ведом. 2025-2027'!AF873</f>
        <v>0</v>
      </c>
      <c r="K429" s="522"/>
      <c r="L429" s="521"/>
      <c r="N429" s="521"/>
      <c r="O429" s="521"/>
      <c r="R429" s="21"/>
      <c r="S429" s="207"/>
      <c r="T429" s="208"/>
      <c r="U429" s="208"/>
      <c r="V429" s="209"/>
      <c r="W429" s="209"/>
      <c r="X429" s="210"/>
    </row>
    <row r="430" spans="1:24" s="155" customFormat="1" x14ac:dyDescent="0.25">
      <c r="A430" s="451" t="s">
        <v>669</v>
      </c>
      <c r="B430" s="515" t="s">
        <v>5</v>
      </c>
      <c r="C430" s="516" t="s">
        <v>30</v>
      </c>
      <c r="D430" s="458" t="s">
        <v>670</v>
      </c>
      <c r="E430" s="468"/>
      <c r="F430" s="522">
        <f>F431</f>
        <v>16500</v>
      </c>
      <c r="G430" s="522">
        <f t="shared" si="96"/>
        <v>16500</v>
      </c>
      <c r="H430" s="522">
        <f t="shared" si="96"/>
        <v>0</v>
      </c>
      <c r="I430" s="522"/>
      <c r="J430" s="522">
        <f t="shared" si="96"/>
        <v>0</v>
      </c>
      <c r="K430" s="522"/>
      <c r="L430" s="521"/>
      <c r="N430" s="521"/>
      <c r="O430" s="521"/>
      <c r="R430" s="21"/>
      <c r="S430" s="207"/>
      <c r="T430" s="208"/>
      <c r="U430" s="208"/>
      <c r="V430" s="209"/>
      <c r="W430" s="209"/>
      <c r="X430" s="210"/>
    </row>
    <row r="431" spans="1:24" s="155" customFormat="1" x14ac:dyDescent="0.25">
      <c r="A431" s="451" t="s">
        <v>120</v>
      </c>
      <c r="B431" s="515" t="s">
        <v>5</v>
      </c>
      <c r="C431" s="516" t="s">
        <v>30</v>
      </c>
      <c r="D431" s="458" t="s">
        <v>670</v>
      </c>
      <c r="E431" s="525" t="s">
        <v>37</v>
      </c>
      <c r="F431" s="522">
        <f>F432</f>
        <v>16500</v>
      </c>
      <c r="G431" s="522">
        <f t="shared" si="96"/>
        <v>16500</v>
      </c>
      <c r="H431" s="522">
        <f t="shared" si="96"/>
        <v>0</v>
      </c>
      <c r="I431" s="522"/>
      <c r="J431" s="522">
        <f t="shared" si="96"/>
        <v>0</v>
      </c>
      <c r="K431" s="522"/>
      <c r="L431" s="521"/>
      <c r="N431" s="521"/>
      <c r="O431" s="521"/>
      <c r="R431" s="21"/>
      <c r="S431" s="207"/>
      <c r="T431" s="208"/>
      <c r="U431" s="208"/>
      <c r="V431" s="209"/>
      <c r="W431" s="209"/>
      <c r="X431" s="210"/>
    </row>
    <row r="432" spans="1:24" s="155" customFormat="1" ht="31.5" x14ac:dyDescent="0.25">
      <c r="A432" s="451" t="s">
        <v>52</v>
      </c>
      <c r="B432" s="515" t="s">
        <v>5</v>
      </c>
      <c r="C432" s="516" t="s">
        <v>30</v>
      </c>
      <c r="D432" s="458" t="s">
        <v>670</v>
      </c>
      <c r="E432" s="525" t="s">
        <v>65</v>
      </c>
      <c r="F432" s="522">
        <f>'ведом. 2025-2027'!AD876</f>
        <v>16500</v>
      </c>
      <c r="G432" s="524">
        <f>F432</f>
        <v>16500</v>
      </c>
      <c r="H432" s="522">
        <f>'ведом. 2025-2027'!AE876</f>
        <v>0</v>
      </c>
      <c r="I432" s="522"/>
      <c r="J432" s="522">
        <f>'ведом. 2025-2027'!AF876</f>
        <v>0</v>
      </c>
      <c r="K432" s="522"/>
      <c r="L432" s="521"/>
      <c r="N432" s="521"/>
      <c r="O432" s="521"/>
      <c r="R432" s="21"/>
      <c r="S432" s="207"/>
      <c r="T432" s="208"/>
      <c r="U432" s="208"/>
      <c r="V432" s="209"/>
      <c r="W432" s="209"/>
      <c r="X432" s="210"/>
    </row>
    <row r="433" spans="1:24" s="155" customFormat="1" x14ac:dyDescent="0.25">
      <c r="A433" s="457" t="s">
        <v>186</v>
      </c>
      <c r="B433" s="453" t="s">
        <v>5</v>
      </c>
      <c r="C433" s="453" t="s">
        <v>30</v>
      </c>
      <c r="D433" s="542" t="s">
        <v>112</v>
      </c>
      <c r="E433" s="454"/>
      <c r="F433" s="522">
        <f>F434</f>
        <v>30000</v>
      </c>
      <c r="G433" s="522"/>
      <c r="H433" s="522">
        <f t="shared" ref="H433:J433" si="99">H434</f>
        <v>0</v>
      </c>
      <c r="I433" s="522"/>
      <c r="J433" s="522">
        <f t="shared" si="99"/>
        <v>0</v>
      </c>
      <c r="K433" s="522"/>
      <c r="L433" s="521"/>
      <c r="N433" s="521"/>
      <c r="O433" s="521"/>
      <c r="R433" s="21"/>
      <c r="S433" s="207"/>
      <c r="T433" s="208"/>
      <c r="U433" s="208"/>
      <c r="V433" s="209"/>
      <c r="W433" s="209"/>
      <c r="X433" s="210"/>
    </row>
    <row r="434" spans="1:24" s="155" customFormat="1" x14ac:dyDescent="0.25">
      <c r="A434" s="451" t="s">
        <v>48</v>
      </c>
      <c r="B434" s="453" t="s">
        <v>5</v>
      </c>
      <c r="C434" s="453" t="s">
        <v>30</v>
      </c>
      <c r="D434" s="542" t="s">
        <v>190</v>
      </c>
      <c r="E434" s="454"/>
      <c r="F434" s="522">
        <f>F435</f>
        <v>30000</v>
      </c>
      <c r="G434" s="522"/>
      <c r="H434" s="522">
        <f t="shared" ref="H434:J434" si="100">H435</f>
        <v>0</v>
      </c>
      <c r="I434" s="522"/>
      <c r="J434" s="522">
        <f t="shared" si="100"/>
        <v>0</v>
      </c>
      <c r="K434" s="522"/>
      <c r="L434" s="521"/>
      <c r="N434" s="521"/>
      <c r="O434" s="521"/>
      <c r="R434" s="21"/>
      <c r="S434" s="207"/>
      <c r="T434" s="208"/>
      <c r="U434" s="208"/>
      <c r="V434" s="209"/>
      <c r="W434" s="209"/>
      <c r="X434" s="210"/>
    </row>
    <row r="435" spans="1:24" s="155" customFormat="1" ht="31.5" x14ac:dyDescent="0.25">
      <c r="A435" s="451" t="s">
        <v>327</v>
      </c>
      <c r="B435" s="453" t="s">
        <v>5</v>
      </c>
      <c r="C435" s="453" t="s">
        <v>30</v>
      </c>
      <c r="D435" s="542" t="s">
        <v>192</v>
      </c>
      <c r="E435" s="454"/>
      <c r="F435" s="522">
        <f>F436</f>
        <v>30000</v>
      </c>
      <c r="G435" s="522"/>
      <c r="H435" s="522">
        <f t="shared" ref="H435:J435" si="101">H436</f>
        <v>0</v>
      </c>
      <c r="I435" s="522"/>
      <c r="J435" s="522">
        <f t="shared" si="101"/>
        <v>0</v>
      </c>
      <c r="K435" s="522"/>
      <c r="L435" s="521"/>
      <c r="N435" s="521"/>
      <c r="O435" s="521"/>
      <c r="R435" s="21"/>
      <c r="S435" s="207"/>
      <c r="T435" s="208"/>
      <c r="U435" s="208"/>
      <c r="V435" s="209"/>
      <c r="W435" s="209"/>
      <c r="X435" s="210"/>
    </row>
    <row r="436" spans="1:24" s="155" customFormat="1" x14ac:dyDescent="0.25">
      <c r="A436" s="451" t="s">
        <v>821</v>
      </c>
      <c r="B436" s="453" t="s">
        <v>5</v>
      </c>
      <c r="C436" s="453" t="s">
        <v>30</v>
      </c>
      <c r="D436" s="542" t="s">
        <v>822</v>
      </c>
      <c r="E436" s="454"/>
      <c r="F436" s="522">
        <f>F437</f>
        <v>30000</v>
      </c>
      <c r="G436" s="522"/>
      <c r="H436" s="522">
        <f t="shared" ref="H436:J436" si="102">H437</f>
        <v>0</v>
      </c>
      <c r="I436" s="522"/>
      <c r="J436" s="522">
        <f t="shared" si="102"/>
        <v>0</v>
      </c>
      <c r="K436" s="522"/>
      <c r="L436" s="521"/>
      <c r="N436" s="521"/>
      <c r="O436" s="521"/>
      <c r="R436" s="21"/>
      <c r="S436" s="207"/>
      <c r="T436" s="208"/>
      <c r="U436" s="208"/>
      <c r="V436" s="209"/>
      <c r="W436" s="209"/>
      <c r="X436" s="210"/>
    </row>
    <row r="437" spans="1:24" s="155" customFormat="1" x14ac:dyDescent="0.25">
      <c r="A437" s="451" t="s">
        <v>42</v>
      </c>
      <c r="B437" s="453" t="s">
        <v>5</v>
      </c>
      <c r="C437" s="453" t="s">
        <v>30</v>
      </c>
      <c r="D437" s="542" t="s">
        <v>822</v>
      </c>
      <c r="E437" s="454">
        <v>800</v>
      </c>
      <c r="F437" s="522">
        <f>F438</f>
        <v>30000</v>
      </c>
      <c r="G437" s="522"/>
      <c r="H437" s="522">
        <f t="shared" ref="H437:J437" si="103">H438</f>
        <v>0</v>
      </c>
      <c r="I437" s="522"/>
      <c r="J437" s="522">
        <f t="shared" si="103"/>
        <v>0</v>
      </c>
      <c r="K437" s="522"/>
      <c r="L437" s="521"/>
      <c r="N437" s="521"/>
      <c r="O437" s="521"/>
      <c r="R437" s="21"/>
      <c r="S437" s="207"/>
      <c r="T437" s="208"/>
      <c r="U437" s="208"/>
      <c r="V437" s="209"/>
      <c r="W437" s="209"/>
      <c r="X437" s="210"/>
    </row>
    <row r="438" spans="1:24" s="155" customFormat="1" ht="31.5" x14ac:dyDescent="0.25">
      <c r="A438" s="451" t="s">
        <v>121</v>
      </c>
      <c r="B438" s="453" t="s">
        <v>5</v>
      </c>
      <c r="C438" s="453" t="s">
        <v>30</v>
      </c>
      <c r="D438" s="542" t="s">
        <v>822</v>
      </c>
      <c r="E438" s="454">
        <v>810</v>
      </c>
      <c r="F438" s="522">
        <f>'ведом. 2025-2027'!AD607</f>
        <v>30000</v>
      </c>
      <c r="G438" s="522"/>
      <c r="H438" s="522">
        <f>'ведом. 2025-2027'!AF607</f>
        <v>0</v>
      </c>
      <c r="I438" s="522"/>
      <c r="J438" s="522">
        <f>'ведом. 2025-2027'!AH607</f>
        <v>0</v>
      </c>
      <c r="K438" s="522"/>
      <c r="L438" s="521"/>
      <c r="N438" s="521"/>
      <c r="O438" s="521"/>
      <c r="R438" s="21"/>
      <c r="S438" s="207"/>
      <c r="T438" s="208"/>
      <c r="U438" s="208"/>
      <c r="V438" s="209"/>
      <c r="W438" s="209"/>
      <c r="X438" s="210"/>
    </row>
    <row r="439" spans="1:24" s="501" customFormat="1" x14ac:dyDescent="0.25">
      <c r="A439" s="457" t="s">
        <v>242</v>
      </c>
      <c r="B439" s="453" t="s">
        <v>5</v>
      </c>
      <c r="C439" s="454" t="s">
        <v>30</v>
      </c>
      <c r="D439" s="458" t="s">
        <v>243</v>
      </c>
      <c r="E439" s="468"/>
      <c r="F439" s="505">
        <f>F440</f>
        <v>593.1</v>
      </c>
      <c r="G439" s="505">
        <f t="shared" ref="G439:J443" si="104">G440</f>
        <v>485.1</v>
      </c>
      <c r="H439" s="522">
        <f t="shared" si="104"/>
        <v>0</v>
      </c>
      <c r="I439" s="522"/>
      <c r="J439" s="522">
        <f t="shared" si="104"/>
        <v>0</v>
      </c>
      <c r="K439" s="522"/>
      <c r="L439" s="504"/>
      <c r="N439" s="504"/>
      <c r="O439" s="504"/>
    </row>
    <row r="440" spans="1:24" s="501" customFormat="1" ht="31.5" x14ac:dyDescent="0.25">
      <c r="A440" s="457" t="s">
        <v>540</v>
      </c>
      <c r="B440" s="453" t="s">
        <v>5</v>
      </c>
      <c r="C440" s="454" t="s">
        <v>30</v>
      </c>
      <c r="D440" s="458" t="s">
        <v>244</v>
      </c>
      <c r="E440" s="468"/>
      <c r="F440" s="505">
        <f>F441</f>
        <v>593.1</v>
      </c>
      <c r="G440" s="505">
        <f t="shared" si="104"/>
        <v>485.1</v>
      </c>
      <c r="H440" s="522">
        <f t="shared" si="104"/>
        <v>0</v>
      </c>
      <c r="I440" s="522"/>
      <c r="J440" s="522">
        <f t="shared" si="104"/>
        <v>0</v>
      </c>
      <c r="K440" s="522"/>
      <c r="L440" s="504"/>
      <c r="N440" s="504"/>
      <c r="O440" s="504"/>
    </row>
    <row r="441" spans="1:24" s="501" customFormat="1" ht="31.5" x14ac:dyDescent="0.25">
      <c r="A441" s="466" t="s">
        <v>541</v>
      </c>
      <c r="B441" s="453" t="s">
        <v>5</v>
      </c>
      <c r="C441" s="454" t="s">
        <v>30</v>
      </c>
      <c r="D441" s="458" t="s">
        <v>245</v>
      </c>
      <c r="E441" s="468"/>
      <c r="F441" s="505">
        <f>F442</f>
        <v>593.1</v>
      </c>
      <c r="G441" s="505">
        <f t="shared" si="104"/>
        <v>485.1</v>
      </c>
      <c r="H441" s="522">
        <f t="shared" si="104"/>
        <v>0</v>
      </c>
      <c r="I441" s="522"/>
      <c r="J441" s="522">
        <f t="shared" si="104"/>
        <v>0</v>
      </c>
      <c r="K441" s="522"/>
      <c r="L441" s="504"/>
      <c r="N441" s="504"/>
      <c r="O441" s="504"/>
    </row>
    <row r="442" spans="1:24" s="501" customFormat="1" x14ac:dyDescent="0.25">
      <c r="A442" s="451" t="s">
        <v>642</v>
      </c>
      <c r="B442" s="453" t="s">
        <v>5</v>
      </c>
      <c r="C442" s="454" t="s">
        <v>30</v>
      </c>
      <c r="D442" s="458" t="s">
        <v>643</v>
      </c>
      <c r="E442" s="468"/>
      <c r="F442" s="505">
        <f>F443</f>
        <v>593.1</v>
      </c>
      <c r="G442" s="505">
        <f t="shared" si="104"/>
        <v>485.1</v>
      </c>
      <c r="H442" s="522">
        <f t="shared" si="104"/>
        <v>0</v>
      </c>
      <c r="I442" s="522"/>
      <c r="J442" s="522">
        <f t="shared" si="104"/>
        <v>0</v>
      </c>
      <c r="K442" s="522"/>
      <c r="L442" s="504"/>
      <c r="N442" s="504"/>
      <c r="O442" s="504"/>
    </row>
    <row r="443" spans="1:24" s="501" customFormat="1" x14ac:dyDescent="0.25">
      <c r="A443" s="451" t="s">
        <v>120</v>
      </c>
      <c r="B443" s="453" t="s">
        <v>5</v>
      </c>
      <c r="C443" s="454" t="s">
        <v>30</v>
      </c>
      <c r="D443" s="458" t="s">
        <v>643</v>
      </c>
      <c r="E443" s="468" t="s">
        <v>37</v>
      </c>
      <c r="F443" s="505">
        <f>F444</f>
        <v>593.1</v>
      </c>
      <c r="G443" s="505">
        <f t="shared" si="104"/>
        <v>485.1</v>
      </c>
      <c r="H443" s="522">
        <f t="shared" si="104"/>
        <v>0</v>
      </c>
      <c r="I443" s="522"/>
      <c r="J443" s="522">
        <f t="shared" si="104"/>
        <v>0</v>
      </c>
      <c r="K443" s="522"/>
      <c r="L443" s="504"/>
      <c r="N443" s="504"/>
      <c r="O443" s="504"/>
    </row>
    <row r="444" spans="1:24" s="501" customFormat="1" ht="31.5" x14ac:dyDescent="0.25">
      <c r="A444" s="451" t="s">
        <v>52</v>
      </c>
      <c r="B444" s="453" t="s">
        <v>5</v>
      </c>
      <c r="C444" s="454" t="s">
        <v>30</v>
      </c>
      <c r="D444" s="458" t="s">
        <v>643</v>
      </c>
      <c r="E444" s="468" t="s">
        <v>65</v>
      </c>
      <c r="F444" s="505">
        <f>'ведом. 2025-2027'!AD882</f>
        <v>593.1</v>
      </c>
      <c r="G444" s="509">
        <f>485.1</f>
        <v>485.1</v>
      </c>
      <c r="H444" s="522">
        <f>'ведом. 2025-2027'!AE882</f>
        <v>0</v>
      </c>
      <c r="I444" s="522"/>
      <c r="J444" s="522">
        <f>'ведом. 2025-2027'!AF882</f>
        <v>0</v>
      </c>
      <c r="K444" s="522"/>
      <c r="L444" s="504"/>
      <c r="N444" s="504"/>
      <c r="O444" s="504"/>
    </row>
    <row r="445" spans="1:24" s="138" customFormat="1" x14ac:dyDescent="0.25">
      <c r="A445" s="375" t="s">
        <v>18</v>
      </c>
      <c r="B445" s="191" t="s">
        <v>5</v>
      </c>
      <c r="C445" s="4" t="s">
        <v>7</v>
      </c>
      <c r="D445" s="321"/>
      <c r="E445" s="328"/>
      <c r="F445" s="159">
        <f t="shared" ref="F445:K445" si="105">F471+F459+F446+F465</f>
        <v>907279.8</v>
      </c>
      <c r="G445" s="522">
        <f t="shared" si="105"/>
        <v>309917.2</v>
      </c>
      <c r="H445" s="522">
        <f>H471+H459+H446+H465</f>
        <v>429817.8</v>
      </c>
      <c r="I445" s="522">
        <f t="shared" si="105"/>
        <v>13931.9</v>
      </c>
      <c r="J445" s="522">
        <f t="shared" si="105"/>
        <v>691441.2</v>
      </c>
      <c r="K445" s="522">
        <f t="shared" si="105"/>
        <v>199026.8</v>
      </c>
      <c r="L445" s="154"/>
      <c r="N445" s="154"/>
      <c r="O445" s="154"/>
    </row>
    <row r="446" spans="1:24" s="138" customFormat="1" ht="31.5" x14ac:dyDescent="0.25">
      <c r="A446" s="255" t="s">
        <v>161</v>
      </c>
      <c r="B446" s="191" t="s">
        <v>5</v>
      </c>
      <c r="C446" s="4" t="s">
        <v>7</v>
      </c>
      <c r="D446" s="26" t="s">
        <v>102</v>
      </c>
      <c r="E446" s="328"/>
      <c r="F446" s="159">
        <f>F447</f>
        <v>23034.3</v>
      </c>
      <c r="G446" s="306"/>
      <c r="H446" s="522">
        <f>H447</f>
        <v>4741</v>
      </c>
      <c r="I446" s="522"/>
      <c r="J446" s="522">
        <f>J447</f>
        <v>4741</v>
      </c>
      <c r="K446" s="522"/>
      <c r="L446" s="154"/>
      <c r="N446" s="154"/>
      <c r="O446" s="154"/>
    </row>
    <row r="447" spans="1:24" s="138" customFormat="1" x14ac:dyDescent="0.25">
      <c r="A447" s="259" t="s">
        <v>162</v>
      </c>
      <c r="B447" s="191" t="s">
        <v>5</v>
      </c>
      <c r="C447" s="4" t="s">
        <v>7</v>
      </c>
      <c r="D447" s="26" t="s">
        <v>106</v>
      </c>
      <c r="E447" s="328"/>
      <c r="F447" s="159">
        <f>F448+F452</f>
        <v>23034.3</v>
      </c>
      <c r="G447" s="306"/>
      <c r="H447" s="522">
        <f>H448+H452</f>
        <v>4741</v>
      </c>
      <c r="I447" s="522"/>
      <c r="J447" s="522">
        <f>J448+J452</f>
        <v>4741</v>
      </c>
      <c r="K447" s="522"/>
      <c r="L447" s="154"/>
      <c r="N447" s="154"/>
      <c r="O447" s="154"/>
    </row>
    <row r="448" spans="1:24" s="138" customFormat="1" x14ac:dyDescent="0.25">
      <c r="A448" s="274" t="s">
        <v>528</v>
      </c>
      <c r="B448" s="191" t="s">
        <v>5</v>
      </c>
      <c r="C448" s="4" t="s">
        <v>7</v>
      </c>
      <c r="D448" s="26" t="s">
        <v>335</v>
      </c>
      <c r="E448" s="328"/>
      <c r="F448" s="159">
        <f>F449</f>
        <v>15638.8</v>
      </c>
      <c r="G448" s="306"/>
      <c r="H448" s="522">
        <f>H449</f>
        <v>0</v>
      </c>
      <c r="I448" s="522"/>
      <c r="J448" s="522">
        <f>J449</f>
        <v>0</v>
      </c>
      <c r="K448" s="522"/>
      <c r="L448" s="154"/>
      <c r="N448" s="154"/>
      <c r="O448" s="154"/>
    </row>
    <row r="449" spans="1:15" s="138" customFormat="1" x14ac:dyDescent="0.25">
      <c r="A449" s="257" t="s">
        <v>248</v>
      </c>
      <c r="B449" s="191" t="s">
        <v>5</v>
      </c>
      <c r="C449" s="4" t="s">
        <v>7</v>
      </c>
      <c r="D449" s="26" t="s">
        <v>356</v>
      </c>
      <c r="E449" s="328"/>
      <c r="F449" s="159">
        <f>F450</f>
        <v>15638.8</v>
      </c>
      <c r="G449" s="522"/>
      <c r="H449" s="522">
        <f t="shared" ref="H449:J449" si="106">H450</f>
        <v>0</v>
      </c>
      <c r="I449" s="522"/>
      <c r="J449" s="522">
        <f t="shared" si="106"/>
        <v>0</v>
      </c>
      <c r="K449" s="522"/>
      <c r="L449" s="154"/>
      <c r="N449" s="154"/>
      <c r="O449" s="154"/>
    </row>
    <row r="450" spans="1:15" s="138" customFormat="1" x14ac:dyDescent="0.25">
      <c r="A450" s="253" t="s">
        <v>120</v>
      </c>
      <c r="B450" s="191" t="s">
        <v>5</v>
      </c>
      <c r="C450" s="4" t="s">
        <v>7</v>
      </c>
      <c r="D450" s="26" t="s">
        <v>356</v>
      </c>
      <c r="E450" s="328" t="s">
        <v>37</v>
      </c>
      <c r="F450" s="159">
        <f>F451</f>
        <v>15638.8</v>
      </c>
      <c r="G450" s="306"/>
      <c r="H450" s="522">
        <f>H451</f>
        <v>0</v>
      </c>
      <c r="I450" s="522"/>
      <c r="J450" s="522">
        <f>J451</f>
        <v>0</v>
      </c>
      <c r="K450" s="522"/>
      <c r="L450" s="154"/>
      <c r="N450" s="154"/>
      <c r="O450" s="154"/>
    </row>
    <row r="451" spans="1:15" s="138" customFormat="1" ht="31.5" x14ac:dyDescent="0.25">
      <c r="A451" s="253" t="s">
        <v>52</v>
      </c>
      <c r="B451" s="191" t="s">
        <v>5</v>
      </c>
      <c r="C451" s="4" t="s">
        <v>7</v>
      </c>
      <c r="D451" s="26" t="s">
        <v>336</v>
      </c>
      <c r="E451" s="328" t="s">
        <v>65</v>
      </c>
      <c r="F451" s="159">
        <f>'ведом. 2025-2027'!AD293</f>
        <v>15638.8</v>
      </c>
      <c r="G451" s="306"/>
      <c r="H451" s="522">
        <f>'ведом. 2025-2027'!AE293</f>
        <v>0</v>
      </c>
      <c r="I451" s="522"/>
      <c r="J451" s="522">
        <f>'ведом. 2025-2027'!AF293</f>
        <v>0</v>
      </c>
      <c r="K451" s="522"/>
      <c r="L451" s="154"/>
      <c r="N451" s="154"/>
      <c r="O451" s="154"/>
    </row>
    <row r="452" spans="1:15" s="138" customFormat="1" ht="31.5" x14ac:dyDescent="0.25">
      <c r="A452" s="258" t="s">
        <v>247</v>
      </c>
      <c r="B452" s="191" t="s">
        <v>5</v>
      </c>
      <c r="C452" s="4" t="s">
        <v>7</v>
      </c>
      <c r="D452" s="26" t="s">
        <v>337</v>
      </c>
      <c r="E452" s="328"/>
      <c r="F452" s="159">
        <f>F453+F455+F457</f>
        <v>7395.5</v>
      </c>
      <c r="G452" s="159"/>
      <c r="H452" s="522">
        <f>H453+H455</f>
        <v>4741</v>
      </c>
      <c r="I452" s="522"/>
      <c r="J452" s="522">
        <f>J453+J455</f>
        <v>4741</v>
      </c>
      <c r="K452" s="522"/>
      <c r="L452" s="154"/>
      <c r="N452" s="154"/>
      <c r="O452" s="154"/>
    </row>
    <row r="453" spans="1:15" s="138" customFormat="1" ht="47.25" x14ac:dyDescent="0.25">
      <c r="A453" s="253" t="s">
        <v>41</v>
      </c>
      <c r="B453" s="191" t="s">
        <v>5</v>
      </c>
      <c r="C453" s="4" t="s">
        <v>7</v>
      </c>
      <c r="D453" s="26" t="s">
        <v>337</v>
      </c>
      <c r="E453" s="328" t="s">
        <v>127</v>
      </c>
      <c r="F453" s="159">
        <f>F454</f>
        <v>6478.7</v>
      </c>
      <c r="G453" s="306"/>
      <c r="H453" s="522">
        <f>H454</f>
        <v>3841.6</v>
      </c>
      <c r="I453" s="522"/>
      <c r="J453" s="522">
        <f>J454</f>
        <v>3841.6</v>
      </c>
      <c r="K453" s="522"/>
      <c r="L453" s="154"/>
      <c r="N453" s="154"/>
      <c r="O453" s="154"/>
    </row>
    <row r="454" spans="1:15" s="138" customFormat="1" x14ac:dyDescent="0.25">
      <c r="A454" s="253" t="s">
        <v>68</v>
      </c>
      <c r="B454" s="191" t="s">
        <v>5</v>
      </c>
      <c r="C454" s="4" t="s">
        <v>7</v>
      </c>
      <c r="D454" s="26" t="s">
        <v>337</v>
      </c>
      <c r="E454" s="328" t="s">
        <v>128</v>
      </c>
      <c r="F454" s="159">
        <f>'ведом. 2025-2027'!AD296</f>
        <v>6478.7</v>
      </c>
      <c r="G454" s="306"/>
      <c r="H454" s="522">
        <f>'ведом. 2025-2027'!AE296</f>
        <v>3841.6</v>
      </c>
      <c r="I454" s="522"/>
      <c r="J454" s="522">
        <f>'ведом. 2025-2027'!AF296</f>
        <v>3841.6</v>
      </c>
      <c r="K454" s="522"/>
      <c r="L454" s="154"/>
      <c r="N454" s="154"/>
      <c r="O454" s="154"/>
    </row>
    <row r="455" spans="1:15" s="138" customFormat="1" x14ac:dyDescent="0.25">
      <c r="A455" s="253" t="s">
        <v>120</v>
      </c>
      <c r="B455" s="191" t="s">
        <v>5</v>
      </c>
      <c r="C455" s="4" t="s">
        <v>7</v>
      </c>
      <c r="D455" s="26" t="s">
        <v>337</v>
      </c>
      <c r="E455" s="328" t="s">
        <v>37</v>
      </c>
      <c r="F455" s="159">
        <f>F456</f>
        <v>915.3</v>
      </c>
      <c r="G455" s="306"/>
      <c r="H455" s="522">
        <f>H456</f>
        <v>899.4</v>
      </c>
      <c r="I455" s="522"/>
      <c r="J455" s="522">
        <f>J456</f>
        <v>899.4</v>
      </c>
      <c r="K455" s="522"/>
      <c r="L455" s="154"/>
      <c r="N455" s="154"/>
      <c r="O455" s="154"/>
    </row>
    <row r="456" spans="1:15" s="138" customFormat="1" ht="31.5" x14ac:dyDescent="0.25">
      <c r="A456" s="253" t="s">
        <v>52</v>
      </c>
      <c r="B456" s="191" t="s">
        <v>5</v>
      </c>
      <c r="C456" s="4" t="s">
        <v>7</v>
      </c>
      <c r="D456" s="26" t="s">
        <v>337</v>
      </c>
      <c r="E456" s="328" t="s">
        <v>65</v>
      </c>
      <c r="F456" s="159">
        <f>'ведом. 2025-2027'!AD298</f>
        <v>915.3</v>
      </c>
      <c r="G456" s="306"/>
      <c r="H456" s="522">
        <f>'ведом. 2025-2027'!AE298</f>
        <v>899.4</v>
      </c>
      <c r="I456" s="522"/>
      <c r="J456" s="522">
        <f>'ведом. 2025-2027'!AF298</f>
        <v>899.4</v>
      </c>
      <c r="K456" s="522"/>
      <c r="L456" s="154"/>
      <c r="N456" s="154"/>
      <c r="O456" s="154"/>
    </row>
    <row r="457" spans="1:15" s="519" customFormat="1" x14ac:dyDescent="0.25">
      <c r="A457" s="451" t="s">
        <v>42</v>
      </c>
      <c r="B457" s="453" t="s">
        <v>5</v>
      </c>
      <c r="C457" s="453" t="s">
        <v>7</v>
      </c>
      <c r="D457" s="541" t="s">
        <v>337</v>
      </c>
      <c r="E457" s="473" t="s">
        <v>347</v>
      </c>
      <c r="F457" s="522">
        <f>F458</f>
        <v>1.5</v>
      </c>
      <c r="G457" s="522"/>
      <c r="H457" s="522">
        <f t="shared" ref="H457:J457" si="107">H458</f>
        <v>0</v>
      </c>
      <c r="I457" s="522"/>
      <c r="J457" s="522">
        <f t="shared" si="107"/>
        <v>0</v>
      </c>
      <c r="K457" s="522"/>
      <c r="L457" s="521"/>
      <c r="N457" s="521"/>
      <c r="O457" s="521"/>
    </row>
    <row r="458" spans="1:15" s="519" customFormat="1" x14ac:dyDescent="0.25">
      <c r="A458" s="451" t="s">
        <v>57</v>
      </c>
      <c r="B458" s="453" t="s">
        <v>5</v>
      </c>
      <c r="C458" s="453" t="s">
        <v>7</v>
      </c>
      <c r="D458" s="541" t="s">
        <v>337</v>
      </c>
      <c r="E458" s="473" t="s">
        <v>824</v>
      </c>
      <c r="F458" s="522">
        <f>'ведом. 2025-2027'!AD300</f>
        <v>1.5</v>
      </c>
      <c r="G458" s="524"/>
      <c r="H458" s="522">
        <f>'ведом. 2025-2027'!AE300</f>
        <v>0</v>
      </c>
      <c r="I458" s="522"/>
      <c r="J458" s="522">
        <f>'ведом. 2025-2027'!AF300</f>
        <v>0</v>
      </c>
      <c r="K458" s="522"/>
      <c r="L458" s="521"/>
      <c r="N458" s="521"/>
      <c r="O458" s="521"/>
    </row>
    <row r="459" spans="1:15" s="138" customFormat="1" ht="31.5" x14ac:dyDescent="0.25">
      <c r="A459" s="255" t="s">
        <v>298</v>
      </c>
      <c r="B459" s="191" t="s">
        <v>5</v>
      </c>
      <c r="C459" s="4" t="s">
        <v>7</v>
      </c>
      <c r="D459" s="156" t="s">
        <v>132</v>
      </c>
      <c r="E459" s="328"/>
      <c r="F459" s="159">
        <f>F460</f>
        <v>1381</v>
      </c>
      <c r="G459" s="306"/>
      <c r="H459" s="522">
        <f>H460</f>
        <v>1365</v>
      </c>
      <c r="I459" s="522"/>
      <c r="J459" s="522">
        <f>J460</f>
        <v>0</v>
      </c>
      <c r="K459" s="522"/>
      <c r="L459" s="154"/>
      <c r="N459" s="154"/>
      <c r="O459" s="154"/>
    </row>
    <row r="460" spans="1:15" s="138" customFormat="1" ht="47.25" x14ac:dyDescent="0.25">
      <c r="A460" s="255" t="s">
        <v>299</v>
      </c>
      <c r="B460" s="191" t="s">
        <v>5</v>
      </c>
      <c r="C460" s="4" t="s">
        <v>7</v>
      </c>
      <c r="D460" s="156" t="s">
        <v>300</v>
      </c>
      <c r="E460" s="326"/>
      <c r="F460" s="159">
        <f>F461</f>
        <v>1381</v>
      </c>
      <c r="G460" s="306"/>
      <c r="H460" s="522">
        <f>H461</f>
        <v>1365</v>
      </c>
      <c r="I460" s="522"/>
      <c r="J460" s="522">
        <f>J461</f>
        <v>0</v>
      </c>
      <c r="K460" s="522"/>
      <c r="L460" s="154"/>
      <c r="N460" s="154"/>
      <c r="O460" s="154"/>
    </row>
    <row r="461" spans="1:15" s="138" customFormat="1" ht="31.5" x14ac:dyDescent="0.25">
      <c r="A461" s="278" t="s">
        <v>304</v>
      </c>
      <c r="B461" s="191" t="s">
        <v>5</v>
      </c>
      <c r="C461" s="4" t="s">
        <v>7</v>
      </c>
      <c r="D461" s="156" t="s">
        <v>305</v>
      </c>
      <c r="E461" s="326"/>
      <c r="F461" s="159">
        <f>F462</f>
        <v>1381</v>
      </c>
      <c r="G461" s="306"/>
      <c r="H461" s="522">
        <f>H462</f>
        <v>1365</v>
      </c>
      <c r="I461" s="522"/>
      <c r="J461" s="522">
        <f>J462</f>
        <v>0</v>
      </c>
      <c r="K461" s="522"/>
      <c r="L461" s="154"/>
      <c r="N461" s="154"/>
      <c r="O461" s="154"/>
    </row>
    <row r="462" spans="1:15" s="138" customFormat="1" ht="47.25" x14ac:dyDescent="0.25">
      <c r="A462" s="272" t="s">
        <v>352</v>
      </c>
      <c r="B462" s="191" t="s">
        <v>5</v>
      </c>
      <c r="C462" s="4" t="s">
        <v>7</v>
      </c>
      <c r="D462" s="156" t="s">
        <v>306</v>
      </c>
      <c r="E462" s="326"/>
      <c r="F462" s="159">
        <f>F463</f>
        <v>1381</v>
      </c>
      <c r="G462" s="306"/>
      <c r="H462" s="522">
        <f>H463</f>
        <v>1365</v>
      </c>
      <c r="I462" s="522"/>
      <c r="J462" s="522">
        <f>J463</f>
        <v>0</v>
      </c>
      <c r="K462" s="522"/>
      <c r="L462" s="154"/>
      <c r="N462" s="154"/>
      <c r="O462" s="154"/>
    </row>
    <row r="463" spans="1:15" s="138" customFormat="1" x14ac:dyDescent="0.25">
      <c r="A463" s="375" t="s">
        <v>120</v>
      </c>
      <c r="B463" s="191" t="s">
        <v>5</v>
      </c>
      <c r="C463" s="4" t="s">
        <v>7</v>
      </c>
      <c r="D463" s="156" t="s">
        <v>306</v>
      </c>
      <c r="E463" s="326">
        <v>200</v>
      </c>
      <c r="F463" s="159">
        <f>F464</f>
        <v>1381</v>
      </c>
      <c r="G463" s="306"/>
      <c r="H463" s="522">
        <f>H464</f>
        <v>1365</v>
      </c>
      <c r="I463" s="522"/>
      <c r="J463" s="522">
        <f>J464</f>
        <v>0</v>
      </c>
      <c r="K463" s="522"/>
      <c r="L463" s="154"/>
      <c r="N463" s="154"/>
      <c r="O463" s="154"/>
    </row>
    <row r="464" spans="1:15" s="138" customFormat="1" ht="31.5" x14ac:dyDescent="0.25">
      <c r="A464" s="375" t="s">
        <v>52</v>
      </c>
      <c r="B464" s="191" t="s">
        <v>5</v>
      </c>
      <c r="C464" s="4" t="s">
        <v>7</v>
      </c>
      <c r="D464" s="156" t="s">
        <v>306</v>
      </c>
      <c r="E464" s="326">
        <v>240</v>
      </c>
      <c r="F464" s="159">
        <f>'ведом. 2025-2027'!AD306</f>
        <v>1381</v>
      </c>
      <c r="G464" s="306"/>
      <c r="H464" s="522">
        <f>'ведом. 2025-2027'!AE306</f>
        <v>1365</v>
      </c>
      <c r="I464" s="522"/>
      <c r="J464" s="522">
        <f>'ведом. 2025-2027'!AF306</f>
        <v>0</v>
      </c>
      <c r="K464" s="522"/>
      <c r="L464" s="154"/>
      <c r="N464" s="154"/>
      <c r="O464" s="154"/>
    </row>
    <row r="465" spans="1:15" s="177" customFormat="1" x14ac:dyDescent="0.25">
      <c r="A465" s="271" t="s">
        <v>249</v>
      </c>
      <c r="B465" s="191" t="s">
        <v>5</v>
      </c>
      <c r="C465" s="4" t="s">
        <v>7</v>
      </c>
      <c r="D465" s="156" t="s">
        <v>250</v>
      </c>
      <c r="E465" s="405"/>
      <c r="F465" s="159">
        <f>F466</f>
        <v>1510</v>
      </c>
      <c r="G465" s="159"/>
      <c r="H465" s="522">
        <f t="shared" ref="H465:J469" si="108">H466</f>
        <v>210</v>
      </c>
      <c r="I465" s="522"/>
      <c r="J465" s="522">
        <f t="shared" si="108"/>
        <v>0</v>
      </c>
      <c r="K465" s="522"/>
      <c r="L465" s="154"/>
      <c r="N465" s="154"/>
      <c r="O465" s="154"/>
    </row>
    <row r="466" spans="1:15" s="177" customFormat="1" ht="24" customHeight="1" x14ac:dyDescent="0.25">
      <c r="A466" s="271" t="s">
        <v>777</v>
      </c>
      <c r="B466" s="191" t="s">
        <v>5</v>
      </c>
      <c r="C466" s="4" t="s">
        <v>7</v>
      </c>
      <c r="D466" s="156" t="s">
        <v>251</v>
      </c>
      <c r="E466" s="404"/>
      <c r="F466" s="159">
        <f>F467</f>
        <v>1510</v>
      </c>
      <c r="G466" s="159"/>
      <c r="H466" s="522">
        <f t="shared" si="108"/>
        <v>210</v>
      </c>
      <c r="I466" s="522"/>
      <c r="J466" s="522">
        <f t="shared" si="108"/>
        <v>0</v>
      </c>
      <c r="K466" s="522"/>
      <c r="L466" s="154"/>
      <c r="N466" s="154"/>
      <c r="O466" s="154"/>
    </row>
    <row r="467" spans="1:15" s="177" customFormat="1" ht="38.25" customHeight="1" x14ac:dyDescent="0.25">
      <c r="A467" s="271" t="s">
        <v>790</v>
      </c>
      <c r="B467" s="191" t="s">
        <v>5</v>
      </c>
      <c r="C467" s="4" t="s">
        <v>7</v>
      </c>
      <c r="D467" s="156" t="s">
        <v>618</v>
      </c>
      <c r="E467" s="311"/>
      <c r="F467" s="159">
        <f>F468</f>
        <v>1510</v>
      </c>
      <c r="G467" s="159"/>
      <c r="H467" s="522">
        <f t="shared" si="108"/>
        <v>210</v>
      </c>
      <c r="I467" s="522"/>
      <c r="J467" s="522">
        <f t="shared" si="108"/>
        <v>0</v>
      </c>
      <c r="K467" s="522"/>
      <c r="L467" s="154"/>
      <c r="N467" s="154"/>
      <c r="O467" s="154"/>
    </row>
    <row r="468" spans="1:15" s="177" customFormat="1" ht="31.5" x14ac:dyDescent="0.25">
      <c r="A468" s="255" t="s">
        <v>620</v>
      </c>
      <c r="B468" s="191" t="s">
        <v>5</v>
      </c>
      <c r="C468" s="4" t="s">
        <v>7</v>
      </c>
      <c r="D468" s="156" t="s">
        <v>619</v>
      </c>
      <c r="E468" s="311"/>
      <c r="F468" s="159">
        <f>F469</f>
        <v>1510</v>
      </c>
      <c r="G468" s="159"/>
      <c r="H468" s="522">
        <f t="shared" si="108"/>
        <v>210</v>
      </c>
      <c r="I468" s="522"/>
      <c r="J468" s="522">
        <f t="shared" si="108"/>
        <v>0</v>
      </c>
      <c r="K468" s="522"/>
      <c r="L468" s="154"/>
      <c r="N468" s="154"/>
      <c r="O468" s="154"/>
    </row>
    <row r="469" spans="1:15" s="177" customFormat="1" x14ac:dyDescent="0.25">
      <c r="A469" s="273" t="s">
        <v>120</v>
      </c>
      <c r="B469" s="191" t="s">
        <v>5</v>
      </c>
      <c r="C469" s="4" t="s">
        <v>7</v>
      </c>
      <c r="D469" s="156" t="s">
        <v>619</v>
      </c>
      <c r="E469" s="311">
        <v>200</v>
      </c>
      <c r="F469" s="159">
        <f>F470</f>
        <v>1510</v>
      </c>
      <c r="G469" s="159"/>
      <c r="H469" s="522">
        <f t="shared" si="108"/>
        <v>210</v>
      </c>
      <c r="I469" s="522"/>
      <c r="J469" s="522">
        <f t="shared" si="108"/>
        <v>0</v>
      </c>
      <c r="K469" s="522"/>
      <c r="L469" s="154"/>
      <c r="N469" s="154"/>
      <c r="O469" s="154"/>
    </row>
    <row r="470" spans="1:15" s="177" customFormat="1" ht="31.5" x14ac:dyDescent="0.25">
      <c r="A470" s="273" t="s">
        <v>52</v>
      </c>
      <c r="B470" s="191" t="s">
        <v>5</v>
      </c>
      <c r="C470" s="4" t="s">
        <v>7</v>
      </c>
      <c r="D470" s="156" t="s">
        <v>619</v>
      </c>
      <c r="E470" s="311">
        <v>240</v>
      </c>
      <c r="F470" s="159">
        <f>'ведом. 2025-2027'!AD312</f>
        <v>1510</v>
      </c>
      <c r="G470" s="159"/>
      <c r="H470" s="522">
        <f>'ведом. 2025-2027'!AE312</f>
        <v>210</v>
      </c>
      <c r="I470" s="522"/>
      <c r="J470" s="522">
        <f>'ведом. 2025-2027'!AF312</f>
        <v>0</v>
      </c>
      <c r="K470" s="522"/>
      <c r="L470" s="154"/>
      <c r="N470" s="154"/>
      <c r="O470" s="154"/>
    </row>
    <row r="471" spans="1:15" s="138" customFormat="1" x14ac:dyDescent="0.25">
      <c r="A471" s="255" t="s">
        <v>242</v>
      </c>
      <c r="B471" s="191" t="s">
        <v>5</v>
      </c>
      <c r="C471" s="4" t="s">
        <v>7</v>
      </c>
      <c r="D471" s="156" t="s">
        <v>243</v>
      </c>
      <c r="E471" s="328"/>
      <c r="F471" s="160">
        <f t="shared" ref="F471:K471" si="109">F472+F498</f>
        <v>881354.5</v>
      </c>
      <c r="G471" s="160">
        <f t="shared" si="109"/>
        <v>309917.2</v>
      </c>
      <c r="H471" s="160">
        <f t="shared" si="109"/>
        <v>423501.8</v>
      </c>
      <c r="I471" s="160">
        <f t="shared" si="109"/>
        <v>13931.9</v>
      </c>
      <c r="J471" s="160">
        <f t="shared" si="109"/>
        <v>686700.2</v>
      </c>
      <c r="K471" s="160">
        <f t="shared" si="109"/>
        <v>199026.8</v>
      </c>
      <c r="L471" s="154"/>
      <c r="N471" s="154"/>
      <c r="O471" s="154"/>
    </row>
    <row r="472" spans="1:15" s="177" customFormat="1" x14ac:dyDescent="0.25">
      <c r="A472" s="259" t="s">
        <v>370</v>
      </c>
      <c r="B472" s="191" t="s">
        <v>5</v>
      </c>
      <c r="C472" s="4" t="s">
        <v>7</v>
      </c>
      <c r="D472" s="156" t="s">
        <v>371</v>
      </c>
      <c r="E472" s="328"/>
      <c r="F472" s="160">
        <f>F488+F473</f>
        <v>462076.5</v>
      </c>
      <c r="G472" s="348">
        <f t="shared" ref="G472:K472" si="110">G488+G473</f>
        <v>309917.2</v>
      </c>
      <c r="H472" s="160">
        <f t="shared" si="110"/>
        <v>16969.400000000001</v>
      </c>
      <c r="I472" s="160">
        <f t="shared" si="110"/>
        <v>13931.9</v>
      </c>
      <c r="J472" s="160">
        <f t="shared" si="110"/>
        <v>242420</v>
      </c>
      <c r="K472" s="160">
        <f t="shared" si="110"/>
        <v>199026.8</v>
      </c>
      <c r="L472" s="154"/>
      <c r="N472" s="154"/>
      <c r="O472" s="154"/>
    </row>
    <row r="473" spans="1:15" s="177" customFormat="1" ht="31.5" x14ac:dyDescent="0.25">
      <c r="A473" s="259" t="s">
        <v>394</v>
      </c>
      <c r="B473" s="191" t="s">
        <v>5</v>
      </c>
      <c r="C473" s="4" t="s">
        <v>7</v>
      </c>
      <c r="D473" s="156" t="s">
        <v>395</v>
      </c>
      <c r="E473" s="328"/>
      <c r="F473" s="160">
        <f>F483+F480+F474+F477</f>
        <v>289619.40000000002</v>
      </c>
      <c r="G473" s="160">
        <f t="shared" ref="G473:J473" si="111">G483+G480+G474+G477</f>
        <v>193273.60000000001</v>
      </c>
      <c r="H473" s="160">
        <f t="shared" si="111"/>
        <v>0</v>
      </c>
      <c r="I473" s="160"/>
      <c r="J473" s="160">
        <f t="shared" si="111"/>
        <v>0</v>
      </c>
      <c r="K473" s="160"/>
      <c r="L473" s="154"/>
      <c r="N473" s="154"/>
      <c r="O473" s="154"/>
    </row>
    <row r="474" spans="1:15" s="519" customFormat="1" ht="31.5" x14ac:dyDescent="0.25">
      <c r="A474" s="457" t="s">
        <v>811</v>
      </c>
      <c r="B474" s="453" t="s">
        <v>5</v>
      </c>
      <c r="C474" s="453" t="s">
        <v>7</v>
      </c>
      <c r="D474" s="542" t="s">
        <v>812</v>
      </c>
      <c r="E474" s="473"/>
      <c r="F474" s="160">
        <f>F475</f>
        <v>12113.7</v>
      </c>
      <c r="G474" s="160"/>
      <c r="H474" s="160">
        <f t="shared" ref="H474:J475" si="112">H475</f>
        <v>0</v>
      </c>
      <c r="I474" s="160"/>
      <c r="J474" s="160">
        <f t="shared" si="112"/>
        <v>0</v>
      </c>
      <c r="K474" s="160"/>
      <c r="L474" s="521"/>
      <c r="N474" s="521"/>
      <c r="O474" s="521"/>
    </row>
    <row r="475" spans="1:15" s="519" customFormat="1" x14ac:dyDescent="0.25">
      <c r="A475" s="451" t="s">
        <v>120</v>
      </c>
      <c r="B475" s="453" t="s">
        <v>5</v>
      </c>
      <c r="C475" s="453" t="s">
        <v>7</v>
      </c>
      <c r="D475" s="542" t="s">
        <v>812</v>
      </c>
      <c r="E475" s="473" t="s">
        <v>37</v>
      </c>
      <c r="F475" s="160">
        <f>F476</f>
        <v>12113.7</v>
      </c>
      <c r="G475" s="160"/>
      <c r="H475" s="160">
        <f t="shared" si="112"/>
        <v>0</v>
      </c>
      <c r="I475" s="160"/>
      <c r="J475" s="160">
        <f t="shared" si="112"/>
        <v>0</v>
      </c>
      <c r="K475" s="160"/>
      <c r="L475" s="521"/>
      <c r="N475" s="521"/>
      <c r="O475" s="521"/>
    </row>
    <row r="476" spans="1:15" s="519" customFormat="1" ht="31.5" x14ac:dyDescent="0.25">
      <c r="A476" s="451" t="s">
        <v>52</v>
      </c>
      <c r="B476" s="453" t="s">
        <v>5</v>
      </c>
      <c r="C476" s="453" t="s">
        <v>7</v>
      </c>
      <c r="D476" s="542" t="s">
        <v>812</v>
      </c>
      <c r="E476" s="473" t="s">
        <v>65</v>
      </c>
      <c r="F476" s="160">
        <f>'ведом. 2025-2027'!AD889</f>
        <v>12113.7</v>
      </c>
      <c r="G476" s="160"/>
      <c r="H476" s="160">
        <f>'ведом. 2025-2027'!AE889</f>
        <v>0</v>
      </c>
      <c r="I476" s="160"/>
      <c r="J476" s="160">
        <f>'ведом. 2025-2027'!AF889</f>
        <v>0</v>
      </c>
      <c r="K476" s="160"/>
      <c r="L476" s="521"/>
      <c r="N476" s="521"/>
      <c r="O476" s="521"/>
    </row>
    <row r="477" spans="1:15" s="519" customFormat="1" x14ac:dyDescent="0.25">
      <c r="A477" s="451" t="s">
        <v>833</v>
      </c>
      <c r="B477" s="453" t="s">
        <v>5</v>
      </c>
      <c r="C477" s="453" t="s">
        <v>7</v>
      </c>
      <c r="D477" s="542" t="s">
        <v>834</v>
      </c>
      <c r="E477" s="454"/>
      <c r="F477" s="160">
        <f>F478</f>
        <v>14734.3</v>
      </c>
      <c r="G477" s="160"/>
      <c r="H477" s="160">
        <f t="shared" ref="H477:J478" si="113">H478</f>
        <v>0</v>
      </c>
      <c r="I477" s="160"/>
      <c r="J477" s="160">
        <f t="shared" si="113"/>
        <v>0</v>
      </c>
      <c r="K477" s="160"/>
      <c r="L477" s="521"/>
      <c r="N477" s="521"/>
      <c r="O477" s="521"/>
    </row>
    <row r="478" spans="1:15" s="519" customFormat="1" x14ac:dyDescent="0.25">
      <c r="A478" s="451" t="s">
        <v>120</v>
      </c>
      <c r="B478" s="453" t="s">
        <v>5</v>
      </c>
      <c r="C478" s="453" t="s">
        <v>7</v>
      </c>
      <c r="D478" s="542" t="s">
        <v>834</v>
      </c>
      <c r="E478" s="482">
        <v>200</v>
      </c>
      <c r="F478" s="160">
        <f>F479</f>
        <v>14734.3</v>
      </c>
      <c r="G478" s="160"/>
      <c r="H478" s="160">
        <f t="shared" si="113"/>
        <v>0</v>
      </c>
      <c r="I478" s="160"/>
      <c r="J478" s="160">
        <f t="shared" si="113"/>
        <v>0</v>
      </c>
      <c r="K478" s="160"/>
      <c r="L478" s="521"/>
      <c r="N478" s="521"/>
      <c r="O478" s="521"/>
    </row>
    <row r="479" spans="1:15" s="519" customFormat="1" ht="31.5" x14ac:dyDescent="0.25">
      <c r="A479" s="451" t="s">
        <v>52</v>
      </c>
      <c r="B479" s="453" t="s">
        <v>5</v>
      </c>
      <c r="C479" s="453" t="s">
        <v>7</v>
      </c>
      <c r="D479" s="542" t="s">
        <v>834</v>
      </c>
      <c r="E479" s="454">
        <v>240</v>
      </c>
      <c r="F479" s="160">
        <f>'ведом. 2025-2027'!AD892</f>
        <v>14734.3</v>
      </c>
      <c r="G479" s="160"/>
      <c r="H479" s="160">
        <f>'ведом. 2025-2027'!AE892</f>
        <v>0</v>
      </c>
      <c r="I479" s="160"/>
      <c r="J479" s="160">
        <f>'ведом. 2025-2027'!AF892</f>
        <v>0</v>
      </c>
      <c r="K479" s="160"/>
      <c r="L479" s="521"/>
      <c r="N479" s="521"/>
      <c r="O479" s="521"/>
    </row>
    <row r="480" spans="1:15" s="519" customFormat="1" x14ac:dyDescent="0.25">
      <c r="A480" s="479" t="s">
        <v>756</v>
      </c>
      <c r="B480" s="453" t="s">
        <v>5</v>
      </c>
      <c r="C480" s="453" t="s">
        <v>7</v>
      </c>
      <c r="D480" s="542" t="s">
        <v>757</v>
      </c>
      <c r="E480" s="473"/>
      <c r="F480" s="160">
        <f>F481</f>
        <v>30471.4</v>
      </c>
      <c r="G480" s="160"/>
      <c r="H480" s="160">
        <f t="shared" ref="H480:J480" si="114">H481</f>
        <v>0</v>
      </c>
      <c r="I480" s="160"/>
      <c r="J480" s="160">
        <f t="shared" si="114"/>
        <v>0</v>
      </c>
      <c r="K480" s="160"/>
      <c r="L480" s="521"/>
      <c r="N480" s="521"/>
      <c r="O480" s="521"/>
    </row>
    <row r="481" spans="1:15" s="519" customFormat="1" x14ac:dyDescent="0.25">
      <c r="A481" s="479" t="s">
        <v>120</v>
      </c>
      <c r="B481" s="453" t="s">
        <v>5</v>
      </c>
      <c r="C481" s="453" t="s">
        <v>7</v>
      </c>
      <c r="D481" s="542" t="s">
        <v>757</v>
      </c>
      <c r="E481" s="473" t="s">
        <v>37</v>
      </c>
      <c r="F481" s="160">
        <f>F482</f>
        <v>30471.4</v>
      </c>
      <c r="G481" s="160"/>
      <c r="H481" s="160">
        <f t="shared" ref="H481:J481" si="115">H482</f>
        <v>0</v>
      </c>
      <c r="I481" s="160"/>
      <c r="J481" s="160">
        <f t="shared" si="115"/>
        <v>0</v>
      </c>
      <c r="K481" s="160"/>
      <c r="L481" s="521"/>
      <c r="N481" s="521"/>
      <c r="O481" s="521"/>
    </row>
    <row r="482" spans="1:15" s="519" customFormat="1" ht="21" customHeight="1" x14ac:dyDescent="0.25">
      <c r="A482" s="479" t="s">
        <v>52</v>
      </c>
      <c r="B482" s="453" t="s">
        <v>5</v>
      </c>
      <c r="C482" s="453" t="s">
        <v>7</v>
      </c>
      <c r="D482" s="542" t="s">
        <v>757</v>
      </c>
      <c r="E482" s="473" t="s">
        <v>65</v>
      </c>
      <c r="F482" s="160">
        <f>'ведом. 2025-2027'!AD895</f>
        <v>30471.4</v>
      </c>
      <c r="G482" s="348"/>
      <c r="H482" s="160">
        <f>'ведом. 2025-2027'!AE895</f>
        <v>0</v>
      </c>
      <c r="I482" s="160"/>
      <c r="J482" s="160">
        <f>'ведом. 2025-2027'!AF895</f>
        <v>0</v>
      </c>
      <c r="K482" s="160"/>
      <c r="L482" s="521"/>
      <c r="N482" s="521"/>
      <c r="O482" s="521"/>
    </row>
    <row r="483" spans="1:15" s="177" customFormat="1" x14ac:dyDescent="0.25">
      <c r="A483" s="253" t="s">
        <v>397</v>
      </c>
      <c r="B483" s="191" t="s">
        <v>5</v>
      </c>
      <c r="C483" s="4" t="s">
        <v>7</v>
      </c>
      <c r="D483" s="156" t="s">
        <v>398</v>
      </c>
      <c r="E483" s="328"/>
      <c r="F483" s="160">
        <f>F484+F486</f>
        <v>232300</v>
      </c>
      <c r="G483" s="348">
        <f>G484+G486</f>
        <v>193273.60000000001</v>
      </c>
      <c r="H483" s="160">
        <f t="shared" ref="F483:H484" si="116">H484</f>
        <v>0</v>
      </c>
      <c r="I483" s="160"/>
      <c r="J483" s="160">
        <f>J484</f>
        <v>0</v>
      </c>
      <c r="K483" s="160"/>
      <c r="L483" s="154"/>
      <c r="N483" s="154"/>
      <c r="O483" s="154"/>
    </row>
    <row r="484" spans="1:15" s="177" customFormat="1" x14ac:dyDescent="0.25">
      <c r="A484" s="253" t="s">
        <v>120</v>
      </c>
      <c r="B484" s="191" t="s">
        <v>5</v>
      </c>
      <c r="C484" s="4" t="s">
        <v>7</v>
      </c>
      <c r="D484" s="156" t="s">
        <v>398</v>
      </c>
      <c r="E484" s="328" t="s">
        <v>37</v>
      </c>
      <c r="F484" s="160">
        <f t="shared" si="116"/>
        <v>205026.5</v>
      </c>
      <c r="G484" s="348">
        <f t="shared" si="116"/>
        <v>170582.1</v>
      </c>
      <c r="H484" s="160">
        <f t="shared" si="116"/>
        <v>0</v>
      </c>
      <c r="I484" s="160"/>
      <c r="J484" s="160">
        <f>J485</f>
        <v>0</v>
      </c>
      <c r="K484" s="160"/>
      <c r="L484" s="154"/>
      <c r="N484" s="154"/>
      <c r="O484" s="154"/>
    </row>
    <row r="485" spans="1:15" s="177" customFormat="1" ht="31.5" x14ac:dyDescent="0.25">
      <c r="A485" s="253" t="s">
        <v>52</v>
      </c>
      <c r="B485" s="191" t="s">
        <v>5</v>
      </c>
      <c r="C485" s="4" t="s">
        <v>7</v>
      </c>
      <c r="D485" s="156" t="s">
        <v>398</v>
      </c>
      <c r="E485" s="328" t="s">
        <v>65</v>
      </c>
      <c r="F485" s="160">
        <f>'ведом. 2025-2027'!AD898</f>
        <v>205026.5</v>
      </c>
      <c r="G485" s="348">
        <f>193273.6-682.8-22008.7</f>
        <v>170582.1</v>
      </c>
      <c r="H485" s="160">
        <f>'ведом. 2025-2027'!AE898</f>
        <v>0</v>
      </c>
      <c r="I485" s="160"/>
      <c r="J485" s="160">
        <f>'ведом. 2025-2027'!AF898</f>
        <v>0</v>
      </c>
      <c r="K485" s="160"/>
      <c r="L485" s="154"/>
      <c r="N485" s="154"/>
      <c r="O485" s="154"/>
    </row>
    <row r="486" spans="1:15" s="519" customFormat="1" ht="31.5" x14ac:dyDescent="0.25">
      <c r="A486" s="451" t="s">
        <v>60</v>
      </c>
      <c r="B486" s="191" t="s">
        <v>5</v>
      </c>
      <c r="C486" s="516" t="s">
        <v>7</v>
      </c>
      <c r="D486" s="156" t="s">
        <v>398</v>
      </c>
      <c r="E486" s="328" t="s">
        <v>387</v>
      </c>
      <c r="F486" s="160">
        <f>F487</f>
        <v>27273.500000000004</v>
      </c>
      <c r="G486" s="160">
        <f t="shared" ref="G486:J486" si="117">G487</f>
        <v>22691.5</v>
      </c>
      <c r="H486" s="160">
        <f t="shared" si="117"/>
        <v>0</v>
      </c>
      <c r="I486" s="160"/>
      <c r="J486" s="160">
        <f t="shared" si="117"/>
        <v>0</v>
      </c>
      <c r="K486" s="160"/>
      <c r="L486" s="521"/>
      <c r="N486" s="521"/>
      <c r="O486" s="521"/>
    </row>
    <row r="487" spans="1:15" s="519" customFormat="1" x14ac:dyDescent="0.25">
      <c r="A487" s="451" t="s">
        <v>61</v>
      </c>
      <c r="B487" s="191" t="s">
        <v>5</v>
      </c>
      <c r="C487" s="516" t="s">
        <v>7</v>
      </c>
      <c r="D487" s="156" t="s">
        <v>398</v>
      </c>
      <c r="E487" s="328" t="s">
        <v>388</v>
      </c>
      <c r="F487" s="160">
        <f>'ведом. 2025-2027'!AD318</f>
        <v>27273.500000000004</v>
      </c>
      <c r="G487" s="348">
        <f>22008.7+682.8</f>
        <v>22691.5</v>
      </c>
      <c r="H487" s="160"/>
      <c r="I487" s="160"/>
      <c r="J487" s="160"/>
      <c r="K487" s="160"/>
      <c r="L487" s="521"/>
      <c r="N487" s="521"/>
      <c r="O487" s="521"/>
    </row>
    <row r="488" spans="1:15" s="177" customFormat="1" x14ac:dyDescent="0.25">
      <c r="A488" s="257" t="s">
        <v>650</v>
      </c>
      <c r="B488" s="191" t="s">
        <v>5</v>
      </c>
      <c r="C488" s="4" t="s">
        <v>7</v>
      </c>
      <c r="D488" s="291" t="s">
        <v>651</v>
      </c>
      <c r="E488" s="328"/>
      <c r="F488" s="160">
        <f>F492+F495+F489</f>
        <v>172457.1</v>
      </c>
      <c r="G488" s="160">
        <f t="shared" ref="G488:K488" si="118">G492+G495+G489</f>
        <v>116643.59999999999</v>
      </c>
      <c r="H488" s="160">
        <f t="shared" si="118"/>
        <v>16969.400000000001</v>
      </c>
      <c r="I488" s="160">
        <f t="shared" si="118"/>
        <v>13931.9</v>
      </c>
      <c r="J488" s="160">
        <f t="shared" si="118"/>
        <v>242420</v>
      </c>
      <c r="K488" s="160">
        <f t="shared" si="118"/>
        <v>199026.8</v>
      </c>
      <c r="L488" s="154"/>
      <c r="N488" s="154"/>
      <c r="O488" s="154"/>
    </row>
    <row r="489" spans="1:15" s="519" customFormat="1" ht="63" x14ac:dyDescent="0.25">
      <c r="A489" s="466" t="s">
        <v>792</v>
      </c>
      <c r="B489" s="453" t="s">
        <v>5</v>
      </c>
      <c r="C489" s="453" t="s">
        <v>7</v>
      </c>
      <c r="D489" s="409" t="s">
        <v>793</v>
      </c>
      <c r="E489" s="473"/>
      <c r="F489" s="160">
        <f>F490</f>
        <v>30382</v>
      </c>
      <c r="G489" s="160"/>
      <c r="H489" s="160">
        <f t="shared" ref="H489:J490" si="119">H490</f>
        <v>0</v>
      </c>
      <c r="I489" s="160"/>
      <c r="J489" s="160">
        <f t="shared" si="119"/>
        <v>0</v>
      </c>
      <c r="K489" s="160"/>
      <c r="L489" s="521"/>
      <c r="N489" s="521"/>
      <c r="O489" s="521"/>
    </row>
    <row r="490" spans="1:15" s="519" customFormat="1" x14ac:dyDescent="0.25">
      <c r="A490" s="451" t="s">
        <v>120</v>
      </c>
      <c r="B490" s="453" t="s">
        <v>5</v>
      </c>
      <c r="C490" s="453" t="s">
        <v>7</v>
      </c>
      <c r="D490" s="409" t="s">
        <v>793</v>
      </c>
      <c r="E490" s="473" t="s">
        <v>37</v>
      </c>
      <c r="F490" s="160">
        <f>F491</f>
        <v>30382</v>
      </c>
      <c r="G490" s="160"/>
      <c r="H490" s="160">
        <f t="shared" si="119"/>
        <v>0</v>
      </c>
      <c r="I490" s="160"/>
      <c r="J490" s="160">
        <f t="shared" si="119"/>
        <v>0</v>
      </c>
      <c r="K490" s="160"/>
      <c r="L490" s="521"/>
      <c r="N490" s="521"/>
      <c r="O490" s="521"/>
    </row>
    <row r="491" spans="1:15" s="519" customFormat="1" ht="31.5" x14ac:dyDescent="0.25">
      <c r="A491" s="451" t="s">
        <v>52</v>
      </c>
      <c r="B491" s="453" t="s">
        <v>5</v>
      </c>
      <c r="C491" s="453" t="s">
        <v>7</v>
      </c>
      <c r="D491" s="409" t="s">
        <v>793</v>
      </c>
      <c r="E491" s="473" t="s">
        <v>65</v>
      </c>
      <c r="F491" s="160">
        <f>'ведом. 2025-2027'!AD902</f>
        <v>30382</v>
      </c>
      <c r="G491" s="348"/>
      <c r="H491" s="160">
        <f>'ведом. 2025-2027'!AE902</f>
        <v>0</v>
      </c>
      <c r="I491" s="160"/>
      <c r="J491" s="160">
        <f>'ведом. 2025-2027'!AF902</f>
        <v>0</v>
      </c>
      <c r="K491" s="160"/>
      <c r="L491" s="521"/>
      <c r="N491" s="521"/>
      <c r="O491" s="521"/>
    </row>
    <row r="492" spans="1:15" s="177" customFormat="1" ht="47.25" x14ac:dyDescent="0.25">
      <c r="A492" s="523" t="s">
        <v>649</v>
      </c>
      <c r="B492" s="191" t="s">
        <v>5</v>
      </c>
      <c r="C492" s="4" t="s">
        <v>7</v>
      </c>
      <c r="D492" s="291" t="s">
        <v>652</v>
      </c>
      <c r="E492" s="328"/>
      <c r="F492" s="160">
        <f t="shared" ref="F492:H493" si="120">F493</f>
        <v>142075.1</v>
      </c>
      <c r="G492" s="348">
        <f>G493</f>
        <v>116643.59999999999</v>
      </c>
      <c r="H492" s="160">
        <f t="shared" si="120"/>
        <v>0</v>
      </c>
      <c r="I492" s="160"/>
      <c r="J492" s="160">
        <f>J493</f>
        <v>0</v>
      </c>
      <c r="K492" s="160"/>
      <c r="L492" s="154"/>
      <c r="N492" s="154"/>
      <c r="O492" s="154"/>
    </row>
    <row r="493" spans="1:15" s="177" customFormat="1" x14ac:dyDescent="0.25">
      <c r="A493" s="253" t="s">
        <v>120</v>
      </c>
      <c r="B493" s="191" t="s">
        <v>5</v>
      </c>
      <c r="C493" s="4" t="s">
        <v>7</v>
      </c>
      <c r="D493" s="291" t="s">
        <v>652</v>
      </c>
      <c r="E493" s="328" t="s">
        <v>37</v>
      </c>
      <c r="F493" s="160">
        <f t="shared" si="120"/>
        <v>142075.1</v>
      </c>
      <c r="G493" s="348">
        <f>G494</f>
        <v>116643.59999999999</v>
      </c>
      <c r="H493" s="160">
        <f t="shared" si="120"/>
        <v>0</v>
      </c>
      <c r="I493" s="160"/>
      <c r="J493" s="160">
        <f>J494</f>
        <v>0</v>
      </c>
      <c r="K493" s="160"/>
      <c r="L493" s="154"/>
      <c r="N493" s="154"/>
      <c r="O493" s="154"/>
    </row>
    <row r="494" spans="1:15" s="177" customFormat="1" ht="31.5" x14ac:dyDescent="0.25">
      <c r="A494" s="253" t="s">
        <v>52</v>
      </c>
      <c r="B494" s="191" t="s">
        <v>5</v>
      </c>
      <c r="C494" s="4" t="s">
        <v>7</v>
      </c>
      <c r="D494" s="291" t="s">
        <v>652</v>
      </c>
      <c r="E494" s="328" t="s">
        <v>65</v>
      </c>
      <c r="F494" s="160">
        <f>'ведом. 2025-2027'!AD905</f>
        <v>142075.1</v>
      </c>
      <c r="G494" s="348">
        <f>92572.4+24071.2</f>
        <v>116643.59999999999</v>
      </c>
      <c r="H494" s="160">
        <f>'ведом. 2025-2027'!AE905</f>
        <v>0</v>
      </c>
      <c r="I494" s="160"/>
      <c r="J494" s="160">
        <f>'ведом. 2025-2027'!AF905</f>
        <v>0</v>
      </c>
      <c r="K494" s="160"/>
      <c r="L494" s="154"/>
      <c r="N494" s="154"/>
      <c r="O494" s="154"/>
    </row>
    <row r="495" spans="1:15" s="519" customFormat="1" ht="31.5" x14ac:dyDescent="0.25">
      <c r="A495" s="451" t="s">
        <v>622</v>
      </c>
      <c r="B495" s="453" t="s">
        <v>5</v>
      </c>
      <c r="C495" s="454" t="s">
        <v>7</v>
      </c>
      <c r="D495" s="291" t="s">
        <v>655</v>
      </c>
      <c r="E495" s="468"/>
      <c r="F495" s="160">
        <f>F496</f>
        <v>0</v>
      </c>
      <c r="G495" s="160"/>
      <c r="H495" s="160">
        <f t="shared" ref="H495:K496" si="121">H496</f>
        <v>16969.400000000001</v>
      </c>
      <c r="I495" s="160">
        <f t="shared" si="121"/>
        <v>13931.9</v>
      </c>
      <c r="J495" s="160">
        <f t="shared" si="121"/>
        <v>242420</v>
      </c>
      <c r="K495" s="160">
        <f t="shared" si="121"/>
        <v>199026.8</v>
      </c>
      <c r="L495" s="521"/>
      <c r="N495" s="521"/>
      <c r="O495" s="521"/>
    </row>
    <row r="496" spans="1:15" s="519" customFormat="1" x14ac:dyDescent="0.25">
      <c r="A496" s="451" t="s">
        <v>120</v>
      </c>
      <c r="B496" s="453" t="s">
        <v>5</v>
      </c>
      <c r="C496" s="454" t="s">
        <v>7</v>
      </c>
      <c r="D496" s="291" t="s">
        <v>655</v>
      </c>
      <c r="E496" s="468" t="s">
        <v>37</v>
      </c>
      <c r="F496" s="160">
        <f>F497</f>
        <v>0</v>
      </c>
      <c r="G496" s="160"/>
      <c r="H496" s="160">
        <f t="shared" si="121"/>
        <v>16969.400000000001</v>
      </c>
      <c r="I496" s="160">
        <f t="shared" si="121"/>
        <v>13931.9</v>
      </c>
      <c r="J496" s="160">
        <f t="shared" si="121"/>
        <v>242420</v>
      </c>
      <c r="K496" s="160">
        <f t="shared" si="121"/>
        <v>199026.8</v>
      </c>
      <c r="L496" s="521"/>
      <c r="N496" s="521"/>
      <c r="O496" s="521"/>
    </row>
    <row r="497" spans="1:15" s="519" customFormat="1" ht="31.5" x14ac:dyDescent="0.25">
      <c r="A497" s="451" t="s">
        <v>52</v>
      </c>
      <c r="B497" s="453" t="s">
        <v>5</v>
      </c>
      <c r="C497" s="454" t="s">
        <v>7</v>
      </c>
      <c r="D497" s="291" t="s">
        <v>655</v>
      </c>
      <c r="E497" s="468" t="s">
        <v>65</v>
      </c>
      <c r="F497" s="160">
        <f>'ведом. 2025-2027'!AD908</f>
        <v>0</v>
      </c>
      <c r="G497" s="348"/>
      <c r="H497" s="160">
        <f>'ведом. 2025-2027'!AE908</f>
        <v>16969.400000000001</v>
      </c>
      <c r="I497" s="160">
        <v>13931.9</v>
      </c>
      <c r="J497" s="160">
        <f>'ведом. 2025-2027'!AF908</f>
        <v>242420</v>
      </c>
      <c r="K497" s="160">
        <v>199026.8</v>
      </c>
      <c r="L497" s="521"/>
      <c r="M497" s="521"/>
      <c r="N497" s="521"/>
      <c r="O497" s="521"/>
    </row>
    <row r="498" spans="1:15" s="138" customFormat="1" ht="31.5" x14ac:dyDescent="0.25">
      <c r="A498" s="255" t="s">
        <v>540</v>
      </c>
      <c r="B498" s="191" t="s">
        <v>5</v>
      </c>
      <c r="C498" s="4" t="s">
        <v>7</v>
      </c>
      <c r="D498" s="156" t="s">
        <v>244</v>
      </c>
      <c r="E498" s="328"/>
      <c r="F498" s="160">
        <f>F499+F521</f>
        <v>419278</v>
      </c>
      <c r="G498" s="160"/>
      <c r="H498" s="160">
        <f>H499+H521</f>
        <v>406532.39999999997</v>
      </c>
      <c r="I498" s="160"/>
      <c r="J498" s="160">
        <f>J499+J521</f>
        <v>444280.2</v>
      </c>
      <c r="K498" s="160"/>
      <c r="L498" s="154"/>
      <c r="N498" s="154"/>
      <c r="O498" s="154"/>
    </row>
    <row r="499" spans="1:15" s="138" customFormat="1" ht="31.5" x14ac:dyDescent="0.25">
      <c r="A499" s="257" t="s">
        <v>541</v>
      </c>
      <c r="B499" s="191" t="s">
        <v>5</v>
      </c>
      <c r="C499" s="4" t="s">
        <v>7</v>
      </c>
      <c r="D499" s="156" t="s">
        <v>245</v>
      </c>
      <c r="E499" s="326"/>
      <c r="F499" s="160">
        <f>F503+F506+F515+F512+F509+F500+F518</f>
        <v>380698.9</v>
      </c>
      <c r="G499" s="160"/>
      <c r="H499" s="160">
        <f t="shared" ref="H499:J499" si="122">H503+H506+H515+H512+H509+H500+H518</f>
        <v>366410.1</v>
      </c>
      <c r="I499" s="160"/>
      <c r="J499" s="160">
        <f t="shared" si="122"/>
        <v>402552.9</v>
      </c>
      <c r="K499" s="160"/>
      <c r="L499" s="154"/>
      <c r="N499" s="154"/>
      <c r="O499" s="154"/>
    </row>
    <row r="500" spans="1:15" s="519" customFormat="1" x14ac:dyDescent="0.25">
      <c r="A500" s="561" t="s">
        <v>781</v>
      </c>
      <c r="B500" s="453" t="s">
        <v>5</v>
      </c>
      <c r="C500" s="453" t="s">
        <v>7</v>
      </c>
      <c r="D500" s="542" t="s">
        <v>782</v>
      </c>
      <c r="E500" s="326"/>
      <c r="F500" s="160">
        <f>F501</f>
        <v>28849.7</v>
      </c>
      <c r="G500" s="160"/>
      <c r="H500" s="160">
        <f t="shared" ref="H500:J501" si="123">H501</f>
        <v>0</v>
      </c>
      <c r="I500" s="160"/>
      <c r="J500" s="160">
        <f t="shared" si="123"/>
        <v>0</v>
      </c>
      <c r="K500" s="160"/>
      <c r="L500" s="521"/>
      <c r="N500" s="521"/>
      <c r="O500" s="521"/>
    </row>
    <row r="501" spans="1:15" s="519" customFormat="1" x14ac:dyDescent="0.25">
      <c r="A501" s="479" t="s">
        <v>120</v>
      </c>
      <c r="B501" s="453" t="s">
        <v>5</v>
      </c>
      <c r="C501" s="453" t="s">
        <v>7</v>
      </c>
      <c r="D501" s="542" t="s">
        <v>782</v>
      </c>
      <c r="E501" s="468" t="s">
        <v>37</v>
      </c>
      <c r="F501" s="160">
        <f>F502</f>
        <v>28849.7</v>
      </c>
      <c r="G501" s="160"/>
      <c r="H501" s="160">
        <f t="shared" si="123"/>
        <v>0</v>
      </c>
      <c r="I501" s="160"/>
      <c r="J501" s="160">
        <f t="shared" si="123"/>
        <v>0</v>
      </c>
      <c r="K501" s="160"/>
      <c r="L501" s="521"/>
      <c r="N501" s="521"/>
      <c r="O501" s="521"/>
    </row>
    <row r="502" spans="1:15" s="519" customFormat="1" ht="31.5" x14ac:dyDescent="0.25">
      <c r="A502" s="479" t="s">
        <v>52</v>
      </c>
      <c r="B502" s="453" t="s">
        <v>5</v>
      </c>
      <c r="C502" s="453" t="s">
        <v>7</v>
      </c>
      <c r="D502" s="542" t="s">
        <v>782</v>
      </c>
      <c r="E502" s="468" t="s">
        <v>65</v>
      </c>
      <c r="F502" s="160">
        <f>'ведом. 2025-2027'!AD913</f>
        <v>28849.7</v>
      </c>
      <c r="G502" s="348"/>
      <c r="H502" s="160">
        <f>'ведом. 2025-2027'!AE913</f>
        <v>0</v>
      </c>
      <c r="I502" s="160"/>
      <c r="J502" s="160">
        <f>'ведом. 2025-2027'!AF913</f>
        <v>0</v>
      </c>
      <c r="K502" s="160"/>
      <c r="L502" s="521"/>
      <c r="N502" s="521"/>
      <c r="O502" s="521"/>
    </row>
    <row r="503" spans="1:15" s="138" customFormat="1" x14ac:dyDescent="0.25">
      <c r="A503" s="277" t="s">
        <v>578</v>
      </c>
      <c r="B503" s="191" t="s">
        <v>5</v>
      </c>
      <c r="C503" s="4" t="s">
        <v>7</v>
      </c>
      <c r="D503" s="156" t="s">
        <v>577</v>
      </c>
      <c r="E503" s="326"/>
      <c r="F503" s="346">
        <f>F504</f>
        <v>0</v>
      </c>
      <c r="G503" s="349"/>
      <c r="H503" s="346">
        <f>H504</f>
        <v>20463</v>
      </c>
      <c r="I503" s="346"/>
      <c r="J503" s="346">
        <f>J504</f>
        <v>32860.699999999997</v>
      </c>
      <c r="K503" s="346"/>
      <c r="L503" s="154"/>
      <c r="N503" s="154"/>
      <c r="O503" s="154"/>
    </row>
    <row r="504" spans="1:15" s="138" customFormat="1" x14ac:dyDescent="0.25">
      <c r="A504" s="253" t="s">
        <v>120</v>
      </c>
      <c r="B504" s="191" t="s">
        <v>5</v>
      </c>
      <c r="C504" s="4" t="s">
        <v>7</v>
      </c>
      <c r="D504" s="156" t="s">
        <v>577</v>
      </c>
      <c r="E504" s="325">
        <v>200</v>
      </c>
      <c r="F504" s="160">
        <f>F505</f>
        <v>0</v>
      </c>
      <c r="G504" s="350"/>
      <c r="H504" s="160">
        <f>H505</f>
        <v>20463</v>
      </c>
      <c r="I504" s="162"/>
      <c r="J504" s="160">
        <f>J505</f>
        <v>32860.699999999997</v>
      </c>
      <c r="K504" s="162"/>
      <c r="L504" s="154"/>
      <c r="N504" s="154"/>
      <c r="O504" s="154"/>
    </row>
    <row r="505" spans="1:15" s="138" customFormat="1" ht="31.5" x14ac:dyDescent="0.25">
      <c r="A505" s="253" t="s">
        <v>52</v>
      </c>
      <c r="B505" s="191" t="s">
        <v>5</v>
      </c>
      <c r="C505" s="4" t="s">
        <v>7</v>
      </c>
      <c r="D505" s="156" t="s">
        <v>577</v>
      </c>
      <c r="E505" s="326">
        <v>240</v>
      </c>
      <c r="F505" s="160">
        <f>'ведом. 2025-2027'!AD916</f>
        <v>0</v>
      </c>
      <c r="G505" s="350"/>
      <c r="H505" s="160">
        <f>'ведом. 2025-2027'!AE916</f>
        <v>20463</v>
      </c>
      <c r="I505" s="162"/>
      <c r="J505" s="160">
        <f>'ведом. 2025-2027'!AF916</f>
        <v>32860.699999999997</v>
      </c>
      <c r="K505" s="162"/>
      <c r="L505" s="154"/>
      <c r="N505" s="154"/>
      <c r="O505" s="154"/>
    </row>
    <row r="506" spans="1:15" s="177" customFormat="1" x14ac:dyDescent="0.25">
      <c r="A506" s="253" t="s">
        <v>434</v>
      </c>
      <c r="B506" s="191" t="s">
        <v>5</v>
      </c>
      <c r="C506" s="4" t="s">
        <v>7</v>
      </c>
      <c r="D506" s="156" t="s">
        <v>402</v>
      </c>
      <c r="E506" s="326"/>
      <c r="F506" s="160">
        <f>F507</f>
        <v>31593.3</v>
      </c>
      <c r="G506" s="348"/>
      <c r="H506" s="160">
        <f>H507</f>
        <v>22760.1</v>
      </c>
      <c r="I506" s="160"/>
      <c r="J506" s="160">
        <f>J507</f>
        <v>31269.200000000001</v>
      </c>
      <c r="K506" s="162"/>
      <c r="L506" s="154"/>
      <c r="N506" s="154"/>
      <c r="O506" s="154"/>
    </row>
    <row r="507" spans="1:15" s="177" customFormat="1" x14ac:dyDescent="0.25">
      <c r="A507" s="253" t="s">
        <v>120</v>
      </c>
      <c r="B507" s="191" t="s">
        <v>5</v>
      </c>
      <c r="C507" s="4" t="s">
        <v>7</v>
      </c>
      <c r="D507" s="156" t="s">
        <v>402</v>
      </c>
      <c r="E507" s="325">
        <v>200</v>
      </c>
      <c r="F507" s="160">
        <f>F508</f>
        <v>31593.3</v>
      </c>
      <c r="G507" s="348"/>
      <c r="H507" s="160">
        <f>H508</f>
        <v>22760.1</v>
      </c>
      <c r="I507" s="160"/>
      <c r="J507" s="160">
        <f>J508</f>
        <v>31269.200000000001</v>
      </c>
      <c r="K507" s="162"/>
      <c r="L507" s="154"/>
      <c r="N507" s="154"/>
      <c r="O507" s="154"/>
    </row>
    <row r="508" spans="1:15" s="177" customFormat="1" ht="31.5" x14ac:dyDescent="0.25">
      <c r="A508" s="253" t="s">
        <v>52</v>
      </c>
      <c r="B508" s="191" t="s">
        <v>5</v>
      </c>
      <c r="C508" s="4" t="s">
        <v>7</v>
      </c>
      <c r="D508" s="156" t="s">
        <v>402</v>
      </c>
      <c r="E508" s="326">
        <v>240</v>
      </c>
      <c r="F508" s="160">
        <f>'ведом. 2025-2027'!AD919</f>
        <v>31593.3</v>
      </c>
      <c r="G508" s="350"/>
      <c r="H508" s="160">
        <f>'ведом. 2025-2027'!AE919</f>
        <v>22760.1</v>
      </c>
      <c r="I508" s="162"/>
      <c r="J508" s="160">
        <f>'ведом. 2025-2027'!AF919</f>
        <v>31269.200000000001</v>
      </c>
      <c r="K508" s="162"/>
      <c r="L508" s="154"/>
      <c r="N508" s="154"/>
      <c r="O508" s="154"/>
    </row>
    <row r="509" spans="1:15" s="177" customFormat="1" ht="31.5" x14ac:dyDescent="0.25">
      <c r="A509" s="253" t="s">
        <v>630</v>
      </c>
      <c r="B509" s="1" t="s">
        <v>5</v>
      </c>
      <c r="C509" s="4" t="s">
        <v>7</v>
      </c>
      <c r="D509" s="291" t="s">
        <v>629</v>
      </c>
      <c r="E509" s="429"/>
      <c r="F509" s="160">
        <f>F510</f>
        <v>15915.2</v>
      </c>
      <c r="G509" s="160"/>
      <c r="H509" s="160">
        <f t="shared" ref="H509:J510" si="124">H510</f>
        <v>16552</v>
      </c>
      <c r="I509" s="160"/>
      <c r="J509" s="160">
        <f t="shared" si="124"/>
        <v>17214</v>
      </c>
      <c r="K509" s="160"/>
      <c r="L509" s="154"/>
      <c r="N509" s="154"/>
      <c r="O509" s="154"/>
    </row>
    <row r="510" spans="1:15" s="177" customFormat="1" x14ac:dyDescent="0.25">
      <c r="A510" s="253" t="s">
        <v>120</v>
      </c>
      <c r="B510" s="1" t="s">
        <v>5</v>
      </c>
      <c r="C510" s="4" t="s">
        <v>7</v>
      </c>
      <c r="D510" s="291" t="s">
        <v>629</v>
      </c>
      <c r="E510" s="407">
        <v>200</v>
      </c>
      <c r="F510" s="160">
        <f>F511</f>
        <v>15915.2</v>
      </c>
      <c r="G510" s="160"/>
      <c r="H510" s="160">
        <f t="shared" si="124"/>
        <v>16552</v>
      </c>
      <c r="I510" s="160"/>
      <c r="J510" s="160">
        <f t="shared" si="124"/>
        <v>17214</v>
      </c>
      <c r="K510" s="160"/>
      <c r="L510" s="154"/>
      <c r="N510" s="154"/>
      <c r="O510" s="154"/>
    </row>
    <row r="511" spans="1:15" s="177" customFormat="1" ht="31.5" x14ac:dyDescent="0.25">
      <c r="A511" s="253" t="s">
        <v>52</v>
      </c>
      <c r="B511" s="1" t="s">
        <v>5</v>
      </c>
      <c r="C511" s="4" t="s">
        <v>7</v>
      </c>
      <c r="D511" s="291" t="s">
        <v>629</v>
      </c>
      <c r="E511" s="429">
        <v>240</v>
      </c>
      <c r="F511" s="160">
        <f>'ведом. 2025-2027'!AD922</f>
        <v>15915.2</v>
      </c>
      <c r="G511" s="350"/>
      <c r="H511" s="160">
        <f>'ведом. 2025-2027'!AE922</f>
        <v>16552</v>
      </c>
      <c r="I511" s="162"/>
      <c r="J511" s="160">
        <f>'ведом. 2025-2027'!AF922</f>
        <v>17214</v>
      </c>
      <c r="K511" s="162"/>
      <c r="L511" s="154"/>
      <c r="N511" s="154"/>
      <c r="O511" s="154"/>
    </row>
    <row r="512" spans="1:15" s="177" customFormat="1" x14ac:dyDescent="0.25">
      <c r="A512" s="253" t="s">
        <v>627</v>
      </c>
      <c r="B512" s="1" t="s">
        <v>5</v>
      </c>
      <c r="C512" s="4" t="s">
        <v>7</v>
      </c>
      <c r="D512" s="291" t="s">
        <v>628</v>
      </c>
      <c r="E512" s="429"/>
      <c r="F512" s="160">
        <f>F513</f>
        <v>14147</v>
      </c>
      <c r="G512" s="160"/>
      <c r="H512" s="160">
        <f t="shared" ref="H512:J513" si="125">H513</f>
        <v>14713</v>
      </c>
      <c r="I512" s="160"/>
      <c r="J512" s="160">
        <f t="shared" si="125"/>
        <v>15301</v>
      </c>
      <c r="K512" s="162"/>
      <c r="L512" s="154"/>
      <c r="N512" s="154"/>
      <c r="O512" s="154"/>
    </row>
    <row r="513" spans="1:15" s="177" customFormat="1" x14ac:dyDescent="0.25">
      <c r="A513" s="253" t="s">
        <v>120</v>
      </c>
      <c r="B513" s="1" t="s">
        <v>5</v>
      </c>
      <c r="C513" s="4" t="s">
        <v>7</v>
      </c>
      <c r="D513" s="291" t="s">
        <v>628</v>
      </c>
      <c r="E513" s="407">
        <v>200</v>
      </c>
      <c r="F513" s="160">
        <f>F514</f>
        <v>14147</v>
      </c>
      <c r="G513" s="160"/>
      <c r="H513" s="160">
        <f t="shared" si="125"/>
        <v>14713</v>
      </c>
      <c r="I513" s="160"/>
      <c r="J513" s="160">
        <f t="shared" si="125"/>
        <v>15301</v>
      </c>
      <c r="K513" s="162"/>
      <c r="L513" s="154"/>
      <c r="N513" s="154"/>
      <c r="O513" s="154"/>
    </row>
    <row r="514" spans="1:15" s="177" customFormat="1" ht="31.5" x14ac:dyDescent="0.25">
      <c r="A514" s="253" t="s">
        <v>52</v>
      </c>
      <c r="B514" s="1" t="s">
        <v>5</v>
      </c>
      <c r="C514" s="4" t="s">
        <v>7</v>
      </c>
      <c r="D514" s="291" t="s">
        <v>628</v>
      </c>
      <c r="E514" s="429">
        <v>240</v>
      </c>
      <c r="F514" s="160">
        <f>'ведом. 2025-2027'!AD925</f>
        <v>14147</v>
      </c>
      <c r="G514" s="350"/>
      <c r="H514" s="160">
        <f>'ведом. 2025-2027'!AE925</f>
        <v>14713</v>
      </c>
      <c r="I514" s="162"/>
      <c r="J514" s="160">
        <f>'ведом. 2025-2027'!AF925</f>
        <v>15301</v>
      </c>
      <c r="K514" s="162"/>
      <c r="L514" s="154"/>
      <c r="N514" s="154"/>
      <c r="O514" s="154"/>
    </row>
    <row r="515" spans="1:15" s="177" customFormat="1" x14ac:dyDescent="0.25">
      <c r="A515" s="253" t="s">
        <v>429</v>
      </c>
      <c r="B515" s="191" t="s">
        <v>5</v>
      </c>
      <c r="C515" s="4" t="s">
        <v>7</v>
      </c>
      <c r="D515" s="458" t="s">
        <v>691</v>
      </c>
      <c r="E515" s="326"/>
      <c r="F515" s="160">
        <f>F516</f>
        <v>3833</v>
      </c>
      <c r="G515" s="160"/>
      <c r="H515" s="160">
        <f>H516</f>
        <v>3986</v>
      </c>
      <c r="I515" s="160"/>
      <c r="J515" s="160">
        <f>J516</f>
        <v>4145</v>
      </c>
      <c r="K515" s="160"/>
      <c r="L515" s="154"/>
      <c r="N515" s="154"/>
      <c r="O515" s="154"/>
    </row>
    <row r="516" spans="1:15" s="177" customFormat="1" x14ac:dyDescent="0.25">
      <c r="A516" s="253" t="s">
        <v>120</v>
      </c>
      <c r="B516" s="191" t="s">
        <v>5</v>
      </c>
      <c r="C516" s="4" t="s">
        <v>7</v>
      </c>
      <c r="D516" s="458" t="s">
        <v>691</v>
      </c>
      <c r="E516" s="325">
        <v>200</v>
      </c>
      <c r="F516" s="160">
        <f>F517</f>
        <v>3833</v>
      </c>
      <c r="G516" s="160"/>
      <c r="H516" s="160">
        <f>H517</f>
        <v>3986</v>
      </c>
      <c r="I516" s="160"/>
      <c r="J516" s="160">
        <f>J517</f>
        <v>4145</v>
      </c>
      <c r="K516" s="160"/>
      <c r="L516" s="154"/>
      <c r="N516" s="154"/>
      <c r="O516" s="154"/>
    </row>
    <row r="517" spans="1:15" s="177" customFormat="1" ht="31.5" x14ac:dyDescent="0.25">
      <c r="A517" s="253" t="s">
        <v>52</v>
      </c>
      <c r="B517" s="191" t="s">
        <v>5</v>
      </c>
      <c r="C517" s="4" t="s">
        <v>7</v>
      </c>
      <c r="D517" s="458" t="s">
        <v>691</v>
      </c>
      <c r="E517" s="326">
        <v>240</v>
      </c>
      <c r="F517" s="160">
        <f>'ведом. 2025-2027'!AD928</f>
        <v>3833</v>
      </c>
      <c r="G517" s="306"/>
      <c r="H517" s="160">
        <f>'ведом. 2025-2027'!AE928</f>
        <v>3986</v>
      </c>
      <c r="I517" s="160"/>
      <c r="J517" s="160">
        <f>'ведом. 2025-2027'!AF928</f>
        <v>4145</v>
      </c>
      <c r="K517" s="160"/>
      <c r="L517" s="154"/>
      <c r="N517" s="154"/>
      <c r="O517" s="154"/>
    </row>
    <row r="518" spans="1:15" s="519" customFormat="1" ht="31.5" x14ac:dyDescent="0.25">
      <c r="A518" s="256" t="s">
        <v>584</v>
      </c>
      <c r="B518" s="191" t="s">
        <v>5</v>
      </c>
      <c r="C518" s="516" t="s">
        <v>7</v>
      </c>
      <c r="D518" s="156" t="s">
        <v>420</v>
      </c>
      <c r="E518" s="326"/>
      <c r="F518" s="160">
        <f>F519</f>
        <v>286360.7</v>
      </c>
      <c r="G518" s="350"/>
      <c r="H518" s="160">
        <f>H519</f>
        <v>287936</v>
      </c>
      <c r="I518" s="162"/>
      <c r="J518" s="160">
        <f>J519</f>
        <v>301763</v>
      </c>
      <c r="K518" s="162"/>
      <c r="L518" s="521"/>
      <c r="N518" s="521"/>
      <c r="O518" s="521"/>
    </row>
    <row r="519" spans="1:15" s="519" customFormat="1" ht="31.5" x14ac:dyDescent="0.25">
      <c r="A519" s="375" t="s">
        <v>60</v>
      </c>
      <c r="B519" s="191" t="s">
        <v>5</v>
      </c>
      <c r="C519" s="516" t="s">
        <v>7</v>
      </c>
      <c r="D519" s="156" t="s">
        <v>420</v>
      </c>
      <c r="E519" s="325">
        <v>600</v>
      </c>
      <c r="F519" s="160">
        <f>F520</f>
        <v>286360.7</v>
      </c>
      <c r="G519" s="350"/>
      <c r="H519" s="160">
        <f>H520</f>
        <v>287936</v>
      </c>
      <c r="I519" s="162"/>
      <c r="J519" s="160">
        <f>J520</f>
        <v>301763</v>
      </c>
      <c r="K519" s="162"/>
      <c r="L519" s="521"/>
      <c r="N519" s="521"/>
      <c r="O519" s="521"/>
    </row>
    <row r="520" spans="1:15" s="519" customFormat="1" x14ac:dyDescent="0.25">
      <c r="A520" s="375" t="s">
        <v>61</v>
      </c>
      <c r="B520" s="191" t="s">
        <v>5</v>
      </c>
      <c r="C520" s="516" t="s">
        <v>7</v>
      </c>
      <c r="D520" s="156" t="s">
        <v>420</v>
      </c>
      <c r="E520" s="326">
        <v>610</v>
      </c>
      <c r="F520" s="160">
        <f>'ведом. 2025-2027'!AD323</f>
        <v>286360.7</v>
      </c>
      <c r="G520" s="350"/>
      <c r="H520" s="160">
        <f>'ведом. 2025-2027'!AE323</f>
        <v>287936</v>
      </c>
      <c r="I520" s="162"/>
      <c r="J520" s="160">
        <f>'ведом. 2025-2027'!AF323</f>
        <v>301763</v>
      </c>
      <c r="K520" s="162"/>
      <c r="L520" s="521"/>
      <c r="N520" s="521"/>
      <c r="O520" s="521"/>
    </row>
    <row r="521" spans="1:15" s="519" customFormat="1" x14ac:dyDescent="0.25">
      <c r="A521" s="466" t="s">
        <v>650</v>
      </c>
      <c r="B521" s="191" t="s">
        <v>5</v>
      </c>
      <c r="C521" s="516" t="s">
        <v>7</v>
      </c>
      <c r="D521" s="555" t="s">
        <v>825</v>
      </c>
      <c r="E521" s="326"/>
      <c r="F521" s="160">
        <f>F522</f>
        <v>38579.1</v>
      </c>
      <c r="G521" s="160"/>
      <c r="H521" s="160">
        <f t="shared" ref="H521:J521" si="126">H522</f>
        <v>40122.300000000003</v>
      </c>
      <c r="I521" s="160"/>
      <c r="J521" s="160">
        <f t="shared" si="126"/>
        <v>41727.300000000003</v>
      </c>
      <c r="K521" s="162"/>
      <c r="L521" s="521"/>
      <c r="N521" s="521"/>
      <c r="O521" s="521"/>
    </row>
    <row r="522" spans="1:15" s="519" customFormat="1" x14ac:dyDescent="0.25">
      <c r="A522" s="561" t="s">
        <v>396</v>
      </c>
      <c r="B522" s="453" t="s">
        <v>5</v>
      </c>
      <c r="C522" s="453" t="s">
        <v>7</v>
      </c>
      <c r="D522" s="555" t="s">
        <v>794</v>
      </c>
      <c r="E522" s="454"/>
      <c r="F522" s="160">
        <f>F523</f>
        <v>38579.1</v>
      </c>
      <c r="G522" s="160"/>
      <c r="H522" s="160">
        <f t="shared" ref="H522:J523" si="127">H523</f>
        <v>40122.300000000003</v>
      </c>
      <c r="I522" s="160"/>
      <c r="J522" s="160">
        <f t="shared" si="127"/>
        <v>41727.300000000003</v>
      </c>
      <c r="K522" s="160"/>
      <c r="L522" s="521"/>
      <c r="N522" s="521"/>
      <c r="O522" s="521"/>
    </row>
    <row r="523" spans="1:15" s="519" customFormat="1" x14ac:dyDescent="0.25">
      <c r="A523" s="479" t="s">
        <v>120</v>
      </c>
      <c r="B523" s="453" t="s">
        <v>5</v>
      </c>
      <c r="C523" s="453" t="s">
        <v>7</v>
      </c>
      <c r="D523" s="555" t="s">
        <v>794</v>
      </c>
      <c r="E523" s="454">
        <v>200</v>
      </c>
      <c r="F523" s="160">
        <f>F524</f>
        <v>38579.1</v>
      </c>
      <c r="G523" s="160"/>
      <c r="H523" s="160">
        <f t="shared" si="127"/>
        <v>40122.300000000003</v>
      </c>
      <c r="I523" s="160"/>
      <c r="J523" s="160">
        <f t="shared" si="127"/>
        <v>41727.300000000003</v>
      </c>
      <c r="K523" s="160"/>
      <c r="L523" s="521"/>
      <c r="N523" s="521"/>
      <c r="O523" s="521"/>
    </row>
    <row r="524" spans="1:15" s="519" customFormat="1" ht="31.5" x14ac:dyDescent="0.25">
      <c r="A524" s="479" t="s">
        <v>52</v>
      </c>
      <c r="B524" s="453" t="s">
        <v>5</v>
      </c>
      <c r="C524" s="453" t="s">
        <v>7</v>
      </c>
      <c r="D524" s="555" t="s">
        <v>794</v>
      </c>
      <c r="E524" s="454">
        <v>240</v>
      </c>
      <c r="F524" s="160">
        <f>'ведом. 2025-2027'!AD932</f>
        <v>38579.1</v>
      </c>
      <c r="G524" s="524"/>
      <c r="H524" s="160">
        <f>'ведом. 2025-2027'!AE932</f>
        <v>40122.300000000003</v>
      </c>
      <c r="I524" s="160"/>
      <c r="J524" s="160">
        <f>'ведом. 2025-2027'!AF932</f>
        <v>41727.300000000003</v>
      </c>
      <c r="K524" s="160"/>
      <c r="L524" s="521"/>
      <c r="N524" s="521"/>
      <c r="O524" s="521"/>
    </row>
    <row r="525" spans="1:15" s="138" customFormat="1" x14ac:dyDescent="0.25">
      <c r="A525" s="375" t="s">
        <v>27</v>
      </c>
      <c r="B525" s="191" t="s">
        <v>5</v>
      </c>
      <c r="C525" s="4" t="s">
        <v>5</v>
      </c>
      <c r="D525" s="26"/>
      <c r="E525" s="325"/>
      <c r="F525" s="159">
        <f>F532+F526</f>
        <v>30952.800000000003</v>
      </c>
      <c r="G525" s="440">
        <f t="shared" ref="G525:K525" si="128">G532+G526</f>
        <v>1612</v>
      </c>
      <c r="H525" s="522">
        <f t="shared" si="128"/>
        <v>30209.8</v>
      </c>
      <c r="I525" s="522">
        <f t="shared" si="128"/>
        <v>1614</v>
      </c>
      <c r="J525" s="522">
        <f t="shared" si="128"/>
        <v>30215.399999999998</v>
      </c>
      <c r="K525" s="522">
        <f t="shared" si="128"/>
        <v>1616</v>
      </c>
      <c r="L525" s="154"/>
      <c r="N525" s="154"/>
      <c r="O525" s="154"/>
    </row>
    <row r="526" spans="1:15" s="438" customFormat="1" x14ac:dyDescent="0.25">
      <c r="A526" s="457" t="s">
        <v>186</v>
      </c>
      <c r="B526" s="453" t="s">
        <v>5</v>
      </c>
      <c r="C526" s="454" t="s">
        <v>5</v>
      </c>
      <c r="D526" s="458" t="s">
        <v>112</v>
      </c>
      <c r="E526" s="456"/>
      <c r="F526" s="440">
        <f>F527</f>
        <v>124.39999999999999</v>
      </c>
      <c r="G526" s="440"/>
      <c r="H526" s="522">
        <f t="shared" ref="H526:J530" si="129">H527</f>
        <v>87.9</v>
      </c>
      <c r="I526" s="522"/>
      <c r="J526" s="522">
        <f t="shared" si="129"/>
        <v>91.5</v>
      </c>
      <c r="K526" s="522"/>
      <c r="L526" s="154"/>
      <c r="N526" s="154"/>
      <c r="O526" s="154"/>
    </row>
    <row r="527" spans="1:15" s="438" customFormat="1" x14ac:dyDescent="0.25">
      <c r="A527" s="457" t="s">
        <v>189</v>
      </c>
      <c r="B527" s="453" t="s">
        <v>5</v>
      </c>
      <c r="C527" s="454" t="s">
        <v>5</v>
      </c>
      <c r="D527" s="458" t="s">
        <v>190</v>
      </c>
      <c r="E527" s="456"/>
      <c r="F527" s="440">
        <f>F528</f>
        <v>124.39999999999999</v>
      </c>
      <c r="G527" s="440"/>
      <c r="H527" s="522">
        <f t="shared" si="129"/>
        <v>87.9</v>
      </c>
      <c r="I527" s="522"/>
      <c r="J527" s="522">
        <f t="shared" si="129"/>
        <v>91.5</v>
      </c>
      <c r="K527" s="522"/>
      <c r="L527" s="154"/>
      <c r="N527" s="154"/>
      <c r="O527" s="154"/>
    </row>
    <row r="528" spans="1:15" s="438" customFormat="1" ht="31.5" x14ac:dyDescent="0.25">
      <c r="A528" s="451" t="s">
        <v>534</v>
      </c>
      <c r="B528" s="453" t="s">
        <v>5</v>
      </c>
      <c r="C528" s="454" t="s">
        <v>5</v>
      </c>
      <c r="D528" s="464" t="s">
        <v>535</v>
      </c>
      <c r="E528" s="460"/>
      <c r="F528" s="440">
        <f>F529</f>
        <v>124.39999999999999</v>
      </c>
      <c r="G528" s="440"/>
      <c r="H528" s="522">
        <f t="shared" si="129"/>
        <v>87.9</v>
      </c>
      <c r="I528" s="522"/>
      <c r="J528" s="522">
        <f t="shared" si="129"/>
        <v>91.5</v>
      </c>
      <c r="K528" s="522"/>
      <c r="L528" s="154"/>
      <c r="N528" s="154"/>
      <c r="O528" s="154"/>
    </row>
    <row r="529" spans="1:15" s="438" customFormat="1" ht="78.75" x14ac:dyDescent="0.25">
      <c r="A529" s="451" t="s">
        <v>406</v>
      </c>
      <c r="B529" s="453" t="s">
        <v>5</v>
      </c>
      <c r="C529" s="454" t="s">
        <v>5</v>
      </c>
      <c r="D529" s="458" t="s">
        <v>536</v>
      </c>
      <c r="E529" s="460"/>
      <c r="F529" s="440">
        <f>F530</f>
        <v>124.39999999999999</v>
      </c>
      <c r="G529" s="440"/>
      <c r="H529" s="522">
        <f t="shared" si="129"/>
        <v>87.9</v>
      </c>
      <c r="I529" s="522"/>
      <c r="J529" s="522">
        <f t="shared" si="129"/>
        <v>91.5</v>
      </c>
      <c r="K529" s="522"/>
      <c r="L529" s="154"/>
      <c r="N529" s="154"/>
      <c r="O529" s="154"/>
    </row>
    <row r="530" spans="1:15" s="438" customFormat="1" x14ac:dyDescent="0.25">
      <c r="A530" s="451" t="s">
        <v>120</v>
      </c>
      <c r="B530" s="453" t="s">
        <v>5</v>
      </c>
      <c r="C530" s="454" t="s">
        <v>5</v>
      </c>
      <c r="D530" s="458" t="s">
        <v>536</v>
      </c>
      <c r="E530" s="460">
        <v>200</v>
      </c>
      <c r="F530" s="440">
        <f>F531</f>
        <v>124.39999999999999</v>
      </c>
      <c r="G530" s="440"/>
      <c r="H530" s="522">
        <f t="shared" si="129"/>
        <v>87.9</v>
      </c>
      <c r="I530" s="522"/>
      <c r="J530" s="522">
        <f t="shared" si="129"/>
        <v>91.5</v>
      </c>
      <c r="K530" s="522"/>
      <c r="L530" s="154"/>
      <c r="N530" s="154"/>
      <c r="O530" s="154"/>
    </row>
    <row r="531" spans="1:15" s="438" customFormat="1" ht="31.5" x14ac:dyDescent="0.25">
      <c r="A531" s="451" t="s">
        <v>52</v>
      </c>
      <c r="B531" s="453" t="s">
        <v>5</v>
      </c>
      <c r="C531" s="454" t="s">
        <v>5</v>
      </c>
      <c r="D531" s="458" t="s">
        <v>536</v>
      </c>
      <c r="E531" s="460">
        <v>240</v>
      </c>
      <c r="F531" s="440">
        <f>'ведом. 2025-2027'!AD939</f>
        <v>124.39999999999999</v>
      </c>
      <c r="G531" s="306"/>
      <c r="H531" s="522">
        <f>'ведом. 2025-2027'!AE939</f>
        <v>87.9</v>
      </c>
      <c r="I531" s="522"/>
      <c r="J531" s="522">
        <f>'ведом. 2025-2027'!AF939</f>
        <v>91.5</v>
      </c>
      <c r="K531" s="522"/>
      <c r="L531" s="154"/>
      <c r="N531" s="154"/>
      <c r="O531" s="154"/>
    </row>
    <row r="532" spans="1:15" s="138" customFormat="1" x14ac:dyDescent="0.25">
      <c r="A532" s="255" t="s">
        <v>242</v>
      </c>
      <c r="B532" s="191" t="s">
        <v>5</v>
      </c>
      <c r="C532" s="4" t="s">
        <v>5</v>
      </c>
      <c r="D532" s="156" t="s">
        <v>243</v>
      </c>
      <c r="E532" s="326"/>
      <c r="F532" s="159">
        <f t="shared" ref="F532:K532" si="130">F533+F540</f>
        <v>30828.400000000001</v>
      </c>
      <c r="G532" s="306">
        <f t="shared" si="130"/>
        <v>1612</v>
      </c>
      <c r="H532" s="522">
        <f t="shared" si="130"/>
        <v>30121.899999999998</v>
      </c>
      <c r="I532" s="522">
        <f t="shared" si="130"/>
        <v>1614</v>
      </c>
      <c r="J532" s="522">
        <f t="shared" si="130"/>
        <v>30123.899999999998</v>
      </c>
      <c r="K532" s="522">
        <f t="shared" si="130"/>
        <v>1616</v>
      </c>
      <c r="L532" s="154"/>
      <c r="N532" s="154"/>
      <c r="O532" s="154"/>
    </row>
    <row r="533" spans="1:15" s="177" customFormat="1" ht="31.5" x14ac:dyDescent="0.25">
      <c r="A533" s="255" t="s">
        <v>540</v>
      </c>
      <c r="B533" s="191" t="s">
        <v>5</v>
      </c>
      <c r="C533" s="4" t="s">
        <v>5</v>
      </c>
      <c r="D533" s="156" t="s">
        <v>244</v>
      </c>
      <c r="E533" s="326"/>
      <c r="F533" s="159">
        <f>F534</f>
        <v>1612</v>
      </c>
      <c r="G533" s="306">
        <f t="shared" ref="G533:K534" si="131">G534</f>
        <v>1612</v>
      </c>
      <c r="H533" s="522">
        <f t="shared" si="131"/>
        <v>1614</v>
      </c>
      <c r="I533" s="522">
        <f t="shared" si="131"/>
        <v>1614</v>
      </c>
      <c r="J533" s="522">
        <f t="shared" si="131"/>
        <v>1616</v>
      </c>
      <c r="K533" s="522">
        <f t="shared" si="131"/>
        <v>1616</v>
      </c>
      <c r="L533" s="154"/>
      <c r="N533" s="154"/>
      <c r="O533" s="154"/>
    </row>
    <row r="534" spans="1:15" s="177" customFormat="1" ht="31.5" x14ac:dyDescent="0.25">
      <c r="A534" s="257" t="s">
        <v>345</v>
      </c>
      <c r="B534" s="191" t="s">
        <v>5</v>
      </c>
      <c r="C534" s="4" t="s">
        <v>5</v>
      </c>
      <c r="D534" s="156" t="s">
        <v>245</v>
      </c>
      <c r="E534" s="326"/>
      <c r="F534" s="159">
        <f>F535</f>
        <v>1612</v>
      </c>
      <c r="G534" s="306">
        <f t="shared" si="131"/>
        <v>1612</v>
      </c>
      <c r="H534" s="522">
        <f t="shared" si="131"/>
        <v>1614</v>
      </c>
      <c r="I534" s="522">
        <f t="shared" si="131"/>
        <v>1614</v>
      </c>
      <c r="J534" s="522">
        <f t="shared" si="131"/>
        <v>1616</v>
      </c>
      <c r="K534" s="522">
        <f t="shared" si="131"/>
        <v>1616</v>
      </c>
      <c r="L534" s="154"/>
      <c r="N534" s="154"/>
      <c r="O534" s="154"/>
    </row>
    <row r="535" spans="1:15" s="177" customFormat="1" ht="31.5" x14ac:dyDescent="0.25">
      <c r="A535" s="273" t="s">
        <v>328</v>
      </c>
      <c r="B535" s="191" t="s">
        <v>5</v>
      </c>
      <c r="C535" s="4" t="s">
        <v>5</v>
      </c>
      <c r="D535" s="156" t="s">
        <v>543</v>
      </c>
      <c r="E535" s="326"/>
      <c r="F535" s="159">
        <f t="shared" ref="F535:K535" si="132">F536+F538</f>
        <v>1612</v>
      </c>
      <c r="G535" s="306">
        <f t="shared" si="132"/>
        <v>1612</v>
      </c>
      <c r="H535" s="522">
        <f t="shared" si="132"/>
        <v>1614</v>
      </c>
      <c r="I535" s="522">
        <f t="shared" si="132"/>
        <v>1614</v>
      </c>
      <c r="J535" s="522">
        <f t="shared" si="132"/>
        <v>1616</v>
      </c>
      <c r="K535" s="522">
        <f t="shared" si="132"/>
        <v>1616</v>
      </c>
      <c r="L535" s="154"/>
      <c r="N535" s="154"/>
      <c r="O535" s="154"/>
    </row>
    <row r="536" spans="1:15" s="177" customFormat="1" ht="47.25" x14ac:dyDescent="0.25">
      <c r="A536" s="273" t="s">
        <v>41</v>
      </c>
      <c r="B536" s="191" t="s">
        <v>5</v>
      </c>
      <c r="C536" s="4" t="s">
        <v>5</v>
      </c>
      <c r="D536" s="156" t="s">
        <v>543</v>
      </c>
      <c r="E536" s="326">
        <v>100</v>
      </c>
      <c r="F536" s="159">
        <f t="shared" ref="F536:K536" si="133">F537</f>
        <v>1541</v>
      </c>
      <c r="G536" s="306">
        <f t="shared" si="133"/>
        <v>1541</v>
      </c>
      <c r="H536" s="522">
        <f t="shared" si="133"/>
        <v>1541</v>
      </c>
      <c r="I536" s="522">
        <f t="shared" si="133"/>
        <v>1541</v>
      </c>
      <c r="J536" s="522">
        <f t="shared" si="133"/>
        <v>1541</v>
      </c>
      <c r="K536" s="522">
        <f t="shared" si="133"/>
        <v>1541</v>
      </c>
      <c r="L536" s="154"/>
      <c r="N536" s="154"/>
      <c r="O536" s="154"/>
    </row>
    <row r="537" spans="1:15" s="177" customFormat="1" x14ac:dyDescent="0.25">
      <c r="A537" s="273" t="s">
        <v>96</v>
      </c>
      <c r="B537" s="191" t="s">
        <v>5</v>
      </c>
      <c r="C537" s="4" t="s">
        <v>5</v>
      </c>
      <c r="D537" s="156" t="s">
        <v>543</v>
      </c>
      <c r="E537" s="326">
        <v>120</v>
      </c>
      <c r="F537" s="159">
        <f>'ведом. 2025-2027'!AD945</f>
        <v>1541</v>
      </c>
      <c r="G537" s="306">
        <f>F537</f>
        <v>1541</v>
      </c>
      <c r="H537" s="522">
        <f>'ведом. 2025-2027'!AE945</f>
        <v>1541</v>
      </c>
      <c r="I537" s="522">
        <f>'ведом. 2025-2027'!AF945</f>
        <v>1541</v>
      </c>
      <c r="J537" s="522">
        <f>'ведом. 2025-2027'!AF945</f>
        <v>1541</v>
      </c>
      <c r="K537" s="522">
        <f>J537</f>
        <v>1541</v>
      </c>
      <c r="L537" s="154"/>
      <c r="N537" s="154"/>
      <c r="O537" s="154"/>
    </row>
    <row r="538" spans="1:15" s="177" customFormat="1" x14ac:dyDescent="0.25">
      <c r="A538" s="273" t="s">
        <v>120</v>
      </c>
      <c r="B538" s="191" t="s">
        <v>5</v>
      </c>
      <c r="C538" s="4" t="s">
        <v>5</v>
      </c>
      <c r="D538" s="156" t="s">
        <v>543</v>
      </c>
      <c r="E538" s="326">
        <v>200</v>
      </c>
      <c r="F538" s="159">
        <f t="shared" ref="F538:K538" si="134">F539</f>
        <v>71</v>
      </c>
      <c r="G538" s="306">
        <f t="shared" si="134"/>
        <v>71</v>
      </c>
      <c r="H538" s="522">
        <f t="shared" si="134"/>
        <v>73</v>
      </c>
      <c r="I538" s="522">
        <f t="shared" si="134"/>
        <v>73</v>
      </c>
      <c r="J538" s="522">
        <f t="shared" si="134"/>
        <v>75</v>
      </c>
      <c r="K538" s="522">
        <f t="shared" si="134"/>
        <v>75</v>
      </c>
      <c r="L538" s="154"/>
      <c r="N538" s="154"/>
      <c r="O538" s="154"/>
    </row>
    <row r="539" spans="1:15" s="177" customFormat="1" ht="31.5" x14ac:dyDescent="0.25">
      <c r="A539" s="273" t="s">
        <v>52</v>
      </c>
      <c r="B539" s="191" t="s">
        <v>5</v>
      </c>
      <c r="C539" s="4" t="s">
        <v>5</v>
      </c>
      <c r="D539" s="156" t="s">
        <v>543</v>
      </c>
      <c r="E539" s="326">
        <v>240</v>
      </c>
      <c r="F539" s="159">
        <f>'ведом. 2025-2027'!AD947</f>
        <v>71</v>
      </c>
      <c r="G539" s="306">
        <f>F539</f>
        <v>71</v>
      </c>
      <c r="H539" s="522">
        <f>'ведом. 2025-2027'!AE947</f>
        <v>73</v>
      </c>
      <c r="I539" s="522">
        <f>H539</f>
        <v>73</v>
      </c>
      <c r="J539" s="522">
        <f>'ведом. 2025-2027'!AF947</f>
        <v>75</v>
      </c>
      <c r="K539" s="522">
        <f>J539</f>
        <v>75</v>
      </c>
      <c r="L539" s="154"/>
      <c r="N539" s="154"/>
      <c r="O539" s="154"/>
    </row>
    <row r="540" spans="1:15" s="138" customFormat="1" x14ac:dyDescent="0.25">
      <c r="A540" s="255" t="s">
        <v>189</v>
      </c>
      <c r="B540" s="191" t="s">
        <v>5</v>
      </c>
      <c r="C540" s="4" t="s">
        <v>5</v>
      </c>
      <c r="D540" s="156" t="s">
        <v>320</v>
      </c>
      <c r="E540" s="326"/>
      <c r="F540" s="159">
        <f t="shared" ref="F540:J541" si="135">F541</f>
        <v>29216.400000000001</v>
      </c>
      <c r="G540" s="306"/>
      <c r="H540" s="522">
        <f t="shared" si="135"/>
        <v>28507.899999999998</v>
      </c>
      <c r="I540" s="522"/>
      <c r="J540" s="522">
        <f t="shared" si="135"/>
        <v>28507.899999999998</v>
      </c>
      <c r="K540" s="522"/>
      <c r="L540" s="154"/>
      <c r="N540" s="154"/>
      <c r="O540" s="154"/>
    </row>
    <row r="541" spans="1:15" s="138" customFormat="1" ht="31.5" x14ac:dyDescent="0.25">
      <c r="A541" s="255" t="s">
        <v>191</v>
      </c>
      <c r="B541" s="191" t="s">
        <v>5</v>
      </c>
      <c r="C541" s="4" t="s">
        <v>5</v>
      </c>
      <c r="D541" s="156" t="s">
        <v>322</v>
      </c>
      <c r="E541" s="326"/>
      <c r="F541" s="159">
        <f>F542</f>
        <v>29216.400000000001</v>
      </c>
      <c r="G541" s="306"/>
      <c r="H541" s="522">
        <f t="shared" si="135"/>
        <v>28507.899999999998</v>
      </c>
      <c r="I541" s="522"/>
      <c r="J541" s="522">
        <f t="shared" si="135"/>
        <v>28507.899999999998</v>
      </c>
      <c r="K541" s="522"/>
      <c r="L541" s="154"/>
      <c r="N541" s="154"/>
      <c r="O541" s="154"/>
    </row>
    <row r="542" spans="1:15" s="138" customFormat="1" x14ac:dyDescent="0.25">
      <c r="A542" s="256" t="s">
        <v>205</v>
      </c>
      <c r="B542" s="191" t="s">
        <v>5</v>
      </c>
      <c r="C542" s="4" t="s">
        <v>5</v>
      </c>
      <c r="D542" s="156" t="s">
        <v>544</v>
      </c>
      <c r="E542" s="326"/>
      <c r="F542" s="159">
        <f>F543+F548+F551</f>
        <v>29216.400000000001</v>
      </c>
      <c r="G542" s="306"/>
      <c r="H542" s="522">
        <f>H543+H548+H551</f>
        <v>28507.899999999998</v>
      </c>
      <c r="I542" s="522"/>
      <c r="J542" s="522">
        <f>J543+J548+J551</f>
        <v>28507.899999999998</v>
      </c>
      <c r="K542" s="522"/>
      <c r="L542" s="154"/>
      <c r="N542" s="154"/>
      <c r="O542" s="154"/>
    </row>
    <row r="543" spans="1:15" s="138" customFormat="1" ht="31.5" x14ac:dyDescent="0.25">
      <c r="A543" s="375" t="s">
        <v>206</v>
      </c>
      <c r="B543" s="191" t="s">
        <v>5</v>
      </c>
      <c r="C543" s="4" t="s">
        <v>5</v>
      </c>
      <c r="D543" s="156" t="s">
        <v>545</v>
      </c>
      <c r="E543" s="340"/>
      <c r="F543" s="159">
        <f>F544+F546</f>
        <v>2285.8999999999996</v>
      </c>
      <c r="G543" s="522"/>
      <c r="H543" s="522">
        <f t="shared" ref="H543:J543" si="136">H544+H546</f>
        <v>2325.6</v>
      </c>
      <c r="I543" s="522"/>
      <c r="J543" s="522">
        <f t="shared" si="136"/>
        <v>2325.6</v>
      </c>
      <c r="K543" s="522"/>
      <c r="L543" s="154"/>
      <c r="N543" s="154"/>
      <c r="O543" s="154"/>
    </row>
    <row r="544" spans="1:15" s="138" customFormat="1" x14ac:dyDescent="0.25">
      <c r="A544" s="375" t="s">
        <v>120</v>
      </c>
      <c r="B544" s="191" t="s">
        <v>5</v>
      </c>
      <c r="C544" s="4" t="s">
        <v>5</v>
      </c>
      <c r="D544" s="156" t="s">
        <v>545</v>
      </c>
      <c r="E544" s="326">
        <v>200</v>
      </c>
      <c r="F544" s="159">
        <f>F545</f>
        <v>2285.7999999999997</v>
      </c>
      <c r="G544" s="306"/>
      <c r="H544" s="522">
        <f>H545</f>
        <v>2325.6</v>
      </c>
      <c r="I544" s="522"/>
      <c r="J544" s="522">
        <f>J545</f>
        <v>2325.6</v>
      </c>
      <c r="K544" s="522"/>
      <c r="L544" s="154"/>
      <c r="N544" s="154"/>
      <c r="O544" s="154"/>
    </row>
    <row r="545" spans="1:24" s="138" customFormat="1" ht="31.5" x14ac:dyDescent="0.25">
      <c r="A545" s="375" t="s">
        <v>52</v>
      </c>
      <c r="B545" s="191" t="s">
        <v>5</v>
      </c>
      <c r="C545" s="4" t="s">
        <v>5</v>
      </c>
      <c r="D545" s="156" t="s">
        <v>545</v>
      </c>
      <c r="E545" s="326">
        <v>240</v>
      </c>
      <c r="F545" s="159">
        <f>'ведом. 2025-2027'!AD953</f>
        <v>2285.7999999999997</v>
      </c>
      <c r="G545" s="306"/>
      <c r="H545" s="522">
        <f>'ведом. 2025-2027'!AE953</f>
        <v>2325.6</v>
      </c>
      <c r="I545" s="522"/>
      <c r="J545" s="522">
        <f>'ведом. 2025-2027'!AF953</f>
        <v>2325.6</v>
      </c>
      <c r="K545" s="522"/>
      <c r="L545" s="154"/>
      <c r="N545" s="154"/>
      <c r="O545" s="154"/>
    </row>
    <row r="546" spans="1:24" s="519" customFormat="1" x14ac:dyDescent="0.25">
      <c r="A546" s="451" t="s">
        <v>42</v>
      </c>
      <c r="B546" s="191" t="s">
        <v>5</v>
      </c>
      <c r="C546" s="516" t="s">
        <v>5</v>
      </c>
      <c r="D546" s="156" t="s">
        <v>545</v>
      </c>
      <c r="E546" s="326">
        <v>800</v>
      </c>
      <c r="F546" s="522">
        <f>F547</f>
        <v>0.1</v>
      </c>
      <c r="G546" s="522"/>
      <c r="H546" s="522">
        <f t="shared" ref="H546:J546" si="137">H547</f>
        <v>0</v>
      </c>
      <c r="I546" s="522"/>
      <c r="J546" s="522">
        <f t="shared" si="137"/>
        <v>0</v>
      </c>
      <c r="K546" s="522"/>
      <c r="L546" s="521"/>
      <c r="N546" s="521"/>
      <c r="O546" s="521"/>
    </row>
    <row r="547" spans="1:24" s="519" customFormat="1" x14ac:dyDescent="0.25">
      <c r="A547" s="451" t="s">
        <v>57</v>
      </c>
      <c r="B547" s="191" t="s">
        <v>5</v>
      </c>
      <c r="C547" s="516" t="s">
        <v>5</v>
      </c>
      <c r="D547" s="156" t="s">
        <v>545</v>
      </c>
      <c r="E547" s="326">
        <v>850</v>
      </c>
      <c r="F547" s="522">
        <f>'ведом. 2025-2027'!AD955</f>
        <v>0.1</v>
      </c>
      <c r="G547" s="524"/>
      <c r="H547" s="522">
        <f>'ведом. 2025-2027'!AE955</f>
        <v>0</v>
      </c>
      <c r="I547" s="522"/>
      <c r="J547" s="522">
        <f>'ведом. 2025-2027'!AF955</f>
        <v>0</v>
      </c>
      <c r="K547" s="522"/>
      <c r="L547" s="521"/>
      <c r="N547" s="521"/>
      <c r="O547" s="521"/>
    </row>
    <row r="548" spans="1:24" s="138" customFormat="1" ht="31.5" x14ac:dyDescent="0.25">
      <c r="A548" s="375" t="s">
        <v>207</v>
      </c>
      <c r="B548" s="191" t="s">
        <v>5</v>
      </c>
      <c r="C548" s="4" t="s">
        <v>5</v>
      </c>
      <c r="D548" s="156" t="s">
        <v>546</v>
      </c>
      <c r="E548" s="340"/>
      <c r="F548" s="159">
        <f>F549</f>
        <v>17192.5</v>
      </c>
      <c r="G548" s="306"/>
      <c r="H548" s="522">
        <f>H549</f>
        <v>16444.3</v>
      </c>
      <c r="I548" s="522"/>
      <c r="J548" s="522">
        <f>J549</f>
        <v>16444.3</v>
      </c>
      <c r="K548" s="522"/>
      <c r="L548" s="154"/>
      <c r="N548" s="154"/>
      <c r="O548" s="154"/>
    </row>
    <row r="549" spans="1:24" s="138" customFormat="1" ht="47.25" x14ac:dyDescent="0.25">
      <c r="A549" s="375" t="s">
        <v>41</v>
      </c>
      <c r="B549" s="191" t="s">
        <v>5</v>
      </c>
      <c r="C549" s="4" t="s">
        <v>5</v>
      </c>
      <c r="D549" s="156" t="s">
        <v>546</v>
      </c>
      <c r="E549" s="326">
        <v>100</v>
      </c>
      <c r="F549" s="159">
        <f>F550</f>
        <v>17192.5</v>
      </c>
      <c r="G549" s="306"/>
      <c r="H549" s="522">
        <f>H550</f>
        <v>16444.3</v>
      </c>
      <c r="I549" s="522"/>
      <c r="J549" s="522">
        <f>J550</f>
        <v>16444.3</v>
      </c>
      <c r="K549" s="522"/>
      <c r="L549" s="154"/>
      <c r="N549" s="154"/>
      <c r="O549" s="154"/>
    </row>
    <row r="550" spans="1:24" s="138" customFormat="1" x14ac:dyDescent="0.25">
      <c r="A550" s="375" t="s">
        <v>96</v>
      </c>
      <c r="B550" s="191" t="s">
        <v>5</v>
      </c>
      <c r="C550" s="4" t="s">
        <v>5</v>
      </c>
      <c r="D550" s="156" t="s">
        <v>546</v>
      </c>
      <c r="E550" s="326">
        <v>120</v>
      </c>
      <c r="F550" s="159">
        <f>'ведом. 2025-2027'!AD958</f>
        <v>17192.5</v>
      </c>
      <c r="G550" s="306"/>
      <c r="H550" s="522">
        <f>'ведом. 2025-2027'!AE958</f>
        <v>16444.3</v>
      </c>
      <c r="I550" s="522"/>
      <c r="J550" s="522">
        <f>'ведом. 2025-2027'!AF958</f>
        <v>16444.3</v>
      </c>
      <c r="K550" s="522"/>
      <c r="L550" s="154"/>
      <c r="N550" s="154"/>
      <c r="O550" s="154"/>
    </row>
    <row r="551" spans="1:24" s="138" customFormat="1" ht="31.5" x14ac:dyDescent="0.25">
      <c r="A551" s="375" t="s">
        <v>208</v>
      </c>
      <c r="B551" s="191" t="s">
        <v>5</v>
      </c>
      <c r="C551" s="4" t="s">
        <v>5</v>
      </c>
      <c r="D551" s="156" t="s">
        <v>547</v>
      </c>
      <c r="E551" s="340"/>
      <c r="F551" s="159">
        <f>F552</f>
        <v>9738</v>
      </c>
      <c r="G551" s="306"/>
      <c r="H551" s="522">
        <f>H552</f>
        <v>9738</v>
      </c>
      <c r="I551" s="522"/>
      <c r="J551" s="522">
        <f>J552</f>
        <v>9738</v>
      </c>
      <c r="K551" s="522"/>
      <c r="L551" s="154"/>
      <c r="N551" s="154"/>
      <c r="O551" s="154"/>
    </row>
    <row r="552" spans="1:24" s="138" customFormat="1" ht="47.25" x14ac:dyDescent="0.25">
      <c r="A552" s="375" t="s">
        <v>41</v>
      </c>
      <c r="B552" s="191" t="s">
        <v>5</v>
      </c>
      <c r="C552" s="4" t="s">
        <v>5</v>
      </c>
      <c r="D552" s="156" t="s">
        <v>547</v>
      </c>
      <c r="E552" s="326">
        <v>100</v>
      </c>
      <c r="F552" s="159">
        <f>F553</f>
        <v>9738</v>
      </c>
      <c r="G552" s="306"/>
      <c r="H552" s="522">
        <f>H553</f>
        <v>9738</v>
      </c>
      <c r="I552" s="522"/>
      <c r="J552" s="522">
        <f>J553</f>
        <v>9738</v>
      </c>
      <c r="K552" s="522"/>
      <c r="L552" s="154"/>
      <c r="N552" s="154"/>
      <c r="O552" s="154"/>
    </row>
    <row r="553" spans="1:24" s="155" customFormat="1" x14ac:dyDescent="0.25">
      <c r="A553" s="375" t="s">
        <v>96</v>
      </c>
      <c r="B553" s="191" t="s">
        <v>5</v>
      </c>
      <c r="C553" s="4" t="s">
        <v>5</v>
      </c>
      <c r="D553" s="156" t="s">
        <v>547</v>
      </c>
      <c r="E553" s="326">
        <v>120</v>
      </c>
      <c r="F553" s="159">
        <f>'ведом. 2025-2027'!AD961</f>
        <v>9738</v>
      </c>
      <c r="G553" s="306"/>
      <c r="H553" s="522">
        <f>'ведом. 2025-2027'!AE961</f>
        <v>9738</v>
      </c>
      <c r="I553" s="522"/>
      <c r="J553" s="522">
        <f>'ведом. 2025-2027'!AF961</f>
        <v>9738</v>
      </c>
      <c r="K553" s="522"/>
      <c r="L553" s="154"/>
      <c r="N553" s="154"/>
      <c r="O553" s="154"/>
      <c r="R553" s="21"/>
      <c r="S553" s="207"/>
      <c r="T553" s="208"/>
      <c r="U553" s="208"/>
      <c r="V553" s="209"/>
      <c r="W553" s="209"/>
      <c r="X553" s="210"/>
    </row>
    <row r="554" spans="1:24" s="155" customFormat="1" x14ac:dyDescent="0.25">
      <c r="A554" s="254" t="s">
        <v>39</v>
      </c>
      <c r="B554" s="193" t="s">
        <v>95</v>
      </c>
      <c r="C554" s="4"/>
      <c r="D554" s="26"/>
      <c r="E554" s="326"/>
      <c r="F554" s="159">
        <f>F555+F565</f>
        <v>825104</v>
      </c>
      <c r="G554" s="522">
        <f>G555+G565</f>
        <v>816710.4</v>
      </c>
      <c r="H554" s="522">
        <f>H555+H565</f>
        <v>134</v>
      </c>
      <c r="I554" s="522"/>
      <c r="J554" s="522">
        <f>J555+J565</f>
        <v>134</v>
      </c>
      <c r="K554" s="522"/>
      <c r="L554" s="154"/>
      <c r="N554" s="154"/>
      <c r="O554" s="154"/>
      <c r="R554" s="21"/>
      <c r="S554" s="207"/>
      <c r="T554" s="208"/>
      <c r="U554" s="208"/>
      <c r="V554" s="209"/>
      <c r="W554" s="209"/>
      <c r="X554" s="210"/>
    </row>
    <row r="555" spans="1:24" s="155" customFormat="1" x14ac:dyDescent="0.25">
      <c r="A555" s="253" t="s">
        <v>92</v>
      </c>
      <c r="B555" s="15" t="s">
        <v>95</v>
      </c>
      <c r="C555" s="1" t="s">
        <v>30</v>
      </c>
      <c r="D555" s="26"/>
      <c r="E555" s="326"/>
      <c r="F555" s="159">
        <f t="shared" ref="F555:F563" si="138">F556</f>
        <v>824970</v>
      </c>
      <c r="G555" s="159">
        <f t="shared" ref="G555:H563" si="139">G556</f>
        <v>816710.4</v>
      </c>
      <c r="H555" s="522">
        <f t="shared" si="139"/>
        <v>0</v>
      </c>
      <c r="I555" s="522"/>
      <c r="J555" s="522">
        <f t="shared" ref="J555:J563" si="140">J556</f>
        <v>0</v>
      </c>
      <c r="K555" s="522"/>
      <c r="L555" s="154"/>
      <c r="N555" s="154"/>
      <c r="O555" s="154"/>
      <c r="R555" s="21"/>
      <c r="S555" s="207"/>
      <c r="T555" s="208"/>
      <c r="U555" s="208"/>
      <c r="V555" s="209"/>
      <c r="W555" s="209"/>
      <c r="X555" s="210"/>
    </row>
    <row r="556" spans="1:24" s="155" customFormat="1" ht="31.5" x14ac:dyDescent="0.25">
      <c r="A556" s="255" t="s">
        <v>597</v>
      </c>
      <c r="B556" s="15" t="s">
        <v>95</v>
      </c>
      <c r="C556" s="1" t="s">
        <v>30</v>
      </c>
      <c r="D556" s="409" t="s">
        <v>111</v>
      </c>
      <c r="E556" s="4"/>
      <c r="F556" s="159">
        <f>F557</f>
        <v>824970</v>
      </c>
      <c r="G556" s="522">
        <f t="shared" si="139"/>
        <v>816710.4</v>
      </c>
      <c r="H556" s="522">
        <f t="shared" si="139"/>
        <v>0</v>
      </c>
      <c r="I556" s="522"/>
      <c r="J556" s="522">
        <f t="shared" si="140"/>
        <v>0</v>
      </c>
      <c r="K556" s="522"/>
      <c r="L556" s="154"/>
      <c r="N556" s="154"/>
      <c r="O556" s="154"/>
      <c r="R556" s="21"/>
      <c r="S556" s="207"/>
      <c r="T556" s="208"/>
      <c r="U556" s="208"/>
      <c r="V556" s="209"/>
      <c r="W556" s="209"/>
      <c r="X556" s="210"/>
    </row>
    <row r="557" spans="1:24" s="155" customFormat="1" x14ac:dyDescent="0.25">
      <c r="A557" s="255" t="s">
        <v>589</v>
      </c>
      <c r="B557" s="15" t="s">
        <v>95</v>
      </c>
      <c r="C557" s="1" t="s">
        <v>30</v>
      </c>
      <c r="D557" s="409" t="s">
        <v>590</v>
      </c>
      <c r="E557" s="4"/>
      <c r="F557" s="159">
        <f>F558+F562</f>
        <v>824970</v>
      </c>
      <c r="G557" s="522">
        <f t="shared" ref="G557:J557" si="141">G558+G562</f>
        <v>816710.4</v>
      </c>
      <c r="H557" s="522">
        <f t="shared" si="141"/>
        <v>0</v>
      </c>
      <c r="I557" s="522"/>
      <c r="J557" s="522">
        <f t="shared" si="141"/>
        <v>0</v>
      </c>
      <c r="K557" s="522"/>
      <c r="L557" s="154"/>
      <c r="N557" s="154"/>
      <c r="O557" s="154"/>
      <c r="R557" s="21"/>
      <c r="S557" s="207"/>
      <c r="T557" s="208"/>
      <c r="U557" s="208"/>
      <c r="V557" s="209"/>
      <c r="W557" s="209"/>
      <c r="X557" s="210"/>
    </row>
    <row r="558" spans="1:24" s="155" customFormat="1" ht="47.25" x14ac:dyDescent="0.25">
      <c r="A558" s="558" t="s">
        <v>760</v>
      </c>
      <c r="B558" s="474" t="s">
        <v>95</v>
      </c>
      <c r="C558" s="453" t="s">
        <v>30</v>
      </c>
      <c r="D558" s="542" t="s">
        <v>761</v>
      </c>
      <c r="E558" s="454"/>
      <c r="F558" s="522">
        <f>F559</f>
        <v>10</v>
      </c>
      <c r="G558" s="522"/>
      <c r="H558" s="522">
        <f t="shared" ref="H558:J560" si="142">H559</f>
        <v>0</v>
      </c>
      <c r="I558" s="522"/>
      <c r="J558" s="522">
        <f t="shared" si="142"/>
        <v>0</v>
      </c>
      <c r="K558" s="522"/>
      <c r="L558" s="521"/>
      <c r="N558" s="521"/>
      <c r="O558" s="521"/>
      <c r="R558" s="21"/>
      <c r="S558" s="207"/>
      <c r="T558" s="208"/>
      <c r="U558" s="208"/>
      <c r="V558" s="209"/>
      <c r="W558" s="209"/>
      <c r="X558" s="210"/>
    </row>
    <row r="559" spans="1:24" s="155" customFormat="1" ht="31.5" x14ac:dyDescent="0.25">
      <c r="A559" s="558" t="s">
        <v>758</v>
      </c>
      <c r="B559" s="474" t="s">
        <v>95</v>
      </c>
      <c r="C559" s="453" t="s">
        <v>30</v>
      </c>
      <c r="D559" s="542" t="s">
        <v>759</v>
      </c>
      <c r="E559" s="454"/>
      <c r="F559" s="522">
        <f>F560</f>
        <v>10</v>
      </c>
      <c r="G559" s="522"/>
      <c r="H559" s="522">
        <f t="shared" si="142"/>
        <v>0</v>
      </c>
      <c r="I559" s="522"/>
      <c r="J559" s="522">
        <f t="shared" si="142"/>
        <v>0</v>
      </c>
      <c r="K559" s="522"/>
      <c r="L559" s="521"/>
      <c r="N559" s="521"/>
      <c r="O559" s="521"/>
      <c r="R559" s="21"/>
      <c r="S559" s="207"/>
      <c r="T559" s="208"/>
      <c r="U559" s="208"/>
      <c r="V559" s="209"/>
      <c r="W559" s="209"/>
      <c r="X559" s="210"/>
    </row>
    <row r="560" spans="1:24" s="155" customFormat="1" x14ac:dyDescent="0.25">
      <c r="A560" s="479" t="s">
        <v>120</v>
      </c>
      <c r="B560" s="474" t="s">
        <v>95</v>
      </c>
      <c r="C560" s="453" t="s">
        <v>30</v>
      </c>
      <c r="D560" s="542" t="s">
        <v>759</v>
      </c>
      <c r="E560" s="454">
        <v>200</v>
      </c>
      <c r="F560" s="522">
        <f>F561</f>
        <v>10</v>
      </c>
      <c r="G560" s="522"/>
      <c r="H560" s="522">
        <f t="shared" si="142"/>
        <v>0</v>
      </c>
      <c r="I560" s="522"/>
      <c r="J560" s="522">
        <f t="shared" si="142"/>
        <v>0</v>
      </c>
      <c r="K560" s="522"/>
      <c r="L560" s="521"/>
      <c r="N560" s="521"/>
      <c r="O560" s="521"/>
      <c r="R560" s="21"/>
      <c r="S560" s="207"/>
      <c r="T560" s="208"/>
      <c r="U560" s="208"/>
      <c r="V560" s="209"/>
      <c r="W560" s="209"/>
      <c r="X560" s="210"/>
    </row>
    <row r="561" spans="1:24" s="155" customFormat="1" ht="16.5" customHeight="1" x14ac:dyDescent="0.25">
      <c r="A561" s="479" t="s">
        <v>52</v>
      </c>
      <c r="B561" s="474" t="s">
        <v>95</v>
      </c>
      <c r="C561" s="453" t="s">
        <v>30</v>
      </c>
      <c r="D561" s="542" t="s">
        <v>759</v>
      </c>
      <c r="E561" s="454">
        <v>240</v>
      </c>
      <c r="F561" s="522">
        <f>'ведом. 2025-2027'!AD969</f>
        <v>10</v>
      </c>
      <c r="G561" s="522"/>
      <c r="H561" s="522">
        <f>'ведом. 2025-2027'!AE969</f>
        <v>0</v>
      </c>
      <c r="I561" s="522"/>
      <c r="J561" s="522">
        <f>'ведом. 2025-2027'!AF969</f>
        <v>0</v>
      </c>
      <c r="K561" s="522"/>
      <c r="L561" s="521"/>
      <c r="N561" s="521"/>
      <c r="O561" s="521"/>
      <c r="R561" s="21"/>
      <c r="S561" s="207"/>
      <c r="T561" s="208"/>
      <c r="U561" s="208"/>
      <c r="V561" s="209"/>
      <c r="W561" s="209"/>
      <c r="X561" s="210"/>
    </row>
    <row r="562" spans="1:24" s="155" customFormat="1" ht="47.25" x14ac:dyDescent="0.25">
      <c r="A562" s="562" t="s">
        <v>778</v>
      </c>
      <c r="B562" s="15" t="s">
        <v>95</v>
      </c>
      <c r="C562" s="1" t="s">
        <v>30</v>
      </c>
      <c r="D562" s="542" t="s">
        <v>779</v>
      </c>
      <c r="E562" s="185"/>
      <c r="F562" s="159">
        <f t="shared" si="138"/>
        <v>824960</v>
      </c>
      <c r="G562" s="159">
        <f t="shared" si="139"/>
        <v>816710.4</v>
      </c>
      <c r="H562" s="522">
        <f t="shared" si="139"/>
        <v>0</v>
      </c>
      <c r="I562" s="522"/>
      <c r="J562" s="522">
        <f t="shared" si="140"/>
        <v>0</v>
      </c>
      <c r="K562" s="522"/>
      <c r="L562" s="154"/>
      <c r="N562" s="154"/>
      <c r="O562" s="154"/>
      <c r="R562" s="21"/>
      <c r="S562" s="207"/>
      <c r="T562" s="208"/>
      <c r="U562" s="208"/>
      <c r="V562" s="209"/>
      <c r="W562" s="209"/>
      <c r="X562" s="210"/>
    </row>
    <row r="563" spans="1:24" s="155" customFormat="1" x14ac:dyDescent="0.25">
      <c r="A563" s="379" t="s">
        <v>153</v>
      </c>
      <c r="B563" s="15" t="s">
        <v>95</v>
      </c>
      <c r="C563" s="1" t="s">
        <v>30</v>
      </c>
      <c r="D563" s="542" t="s">
        <v>779</v>
      </c>
      <c r="E563" s="185" t="s">
        <v>154</v>
      </c>
      <c r="F563" s="159">
        <f t="shared" si="138"/>
        <v>824960</v>
      </c>
      <c r="G563" s="159">
        <f t="shared" si="139"/>
        <v>816710.4</v>
      </c>
      <c r="H563" s="522">
        <f t="shared" si="139"/>
        <v>0</v>
      </c>
      <c r="I563" s="522"/>
      <c r="J563" s="522">
        <f t="shared" si="140"/>
        <v>0</v>
      </c>
      <c r="K563" s="522"/>
      <c r="L563" s="154"/>
      <c r="N563" s="154"/>
      <c r="O563" s="154"/>
      <c r="R563" s="21"/>
      <c r="S563" s="207"/>
      <c r="T563" s="208"/>
      <c r="U563" s="208"/>
      <c r="V563" s="209"/>
      <c r="W563" s="209"/>
      <c r="X563" s="210"/>
    </row>
    <row r="564" spans="1:24" s="155" customFormat="1" x14ac:dyDescent="0.25">
      <c r="A564" s="253" t="s">
        <v>9</v>
      </c>
      <c r="B564" s="15" t="s">
        <v>95</v>
      </c>
      <c r="C564" s="1" t="s">
        <v>30</v>
      </c>
      <c r="D564" s="542" t="s">
        <v>779</v>
      </c>
      <c r="E564" s="185" t="s">
        <v>155</v>
      </c>
      <c r="F564" s="159">
        <f>'ведом. 2025-2027'!AD972</f>
        <v>824960</v>
      </c>
      <c r="G564" s="306">
        <v>816710.4</v>
      </c>
      <c r="H564" s="522">
        <f>'ведом. 2025-2027'!AE972</f>
        <v>0</v>
      </c>
      <c r="I564" s="522"/>
      <c r="J564" s="522">
        <f>'ведом. 2025-2027'!AF972</f>
        <v>0</v>
      </c>
      <c r="K564" s="522"/>
      <c r="L564" s="154"/>
      <c r="N564" s="154"/>
      <c r="O564" s="154"/>
      <c r="R564" s="21"/>
      <c r="S564" s="207"/>
      <c r="T564" s="208"/>
      <c r="U564" s="208"/>
      <c r="V564" s="209"/>
      <c r="W564" s="209"/>
      <c r="X564" s="210"/>
    </row>
    <row r="565" spans="1:24" s="155" customFormat="1" x14ac:dyDescent="0.25">
      <c r="A565" s="523" t="s">
        <v>692</v>
      </c>
      <c r="B565" s="15" t="s">
        <v>95</v>
      </c>
      <c r="C565" s="516" t="s">
        <v>5</v>
      </c>
      <c r="D565" s="291"/>
      <c r="E565" s="526"/>
      <c r="F565" s="522">
        <f t="shared" ref="F565:F570" si="143">F566</f>
        <v>134</v>
      </c>
      <c r="G565" s="522"/>
      <c r="H565" s="522">
        <f t="shared" ref="H565:J570" si="144">H566</f>
        <v>134</v>
      </c>
      <c r="I565" s="522"/>
      <c r="J565" s="522">
        <f t="shared" si="144"/>
        <v>134</v>
      </c>
      <c r="K565" s="522"/>
      <c r="L565" s="521"/>
      <c r="N565" s="521"/>
      <c r="O565" s="521"/>
      <c r="R565" s="21"/>
      <c r="S565" s="207"/>
      <c r="T565" s="208"/>
      <c r="U565" s="208"/>
      <c r="V565" s="209"/>
      <c r="W565" s="209"/>
      <c r="X565" s="210"/>
    </row>
    <row r="566" spans="1:24" s="155" customFormat="1" x14ac:dyDescent="0.25">
      <c r="A566" s="523" t="s">
        <v>693</v>
      </c>
      <c r="B566" s="15" t="s">
        <v>95</v>
      </c>
      <c r="C566" s="516" t="s">
        <v>5</v>
      </c>
      <c r="D566" s="291" t="s">
        <v>694</v>
      </c>
      <c r="E566" s="526"/>
      <c r="F566" s="522">
        <f t="shared" si="143"/>
        <v>134</v>
      </c>
      <c r="G566" s="522"/>
      <c r="H566" s="522">
        <f t="shared" si="144"/>
        <v>134</v>
      </c>
      <c r="I566" s="522"/>
      <c r="J566" s="522">
        <f t="shared" si="144"/>
        <v>134</v>
      </c>
      <c r="K566" s="522"/>
      <c r="L566" s="521"/>
      <c r="N566" s="521"/>
      <c r="O566" s="521"/>
      <c r="R566" s="21"/>
      <c r="S566" s="207"/>
      <c r="T566" s="208"/>
      <c r="U566" s="208"/>
      <c r="V566" s="209"/>
      <c r="W566" s="209"/>
      <c r="X566" s="210"/>
    </row>
    <row r="567" spans="1:24" s="155" customFormat="1" x14ac:dyDescent="0.25">
      <c r="A567" s="523" t="s">
        <v>695</v>
      </c>
      <c r="B567" s="15" t="s">
        <v>95</v>
      </c>
      <c r="C567" s="516" t="s">
        <v>5</v>
      </c>
      <c r="D567" s="291" t="s">
        <v>696</v>
      </c>
      <c r="E567" s="526"/>
      <c r="F567" s="522">
        <f t="shared" si="143"/>
        <v>134</v>
      </c>
      <c r="G567" s="522"/>
      <c r="H567" s="522">
        <f t="shared" si="144"/>
        <v>134</v>
      </c>
      <c r="I567" s="522"/>
      <c r="J567" s="522">
        <f t="shared" si="144"/>
        <v>134</v>
      </c>
      <c r="K567" s="522"/>
      <c r="L567" s="521"/>
      <c r="N567" s="521"/>
      <c r="O567" s="521"/>
      <c r="R567" s="21"/>
      <c r="S567" s="207"/>
      <c r="T567" s="208"/>
      <c r="U567" s="208"/>
      <c r="V567" s="209"/>
      <c r="W567" s="209"/>
      <c r="X567" s="210"/>
    </row>
    <row r="568" spans="1:24" s="155" customFormat="1" x14ac:dyDescent="0.25">
      <c r="A568" s="523" t="s">
        <v>697</v>
      </c>
      <c r="B568" s="15" t="s">
        <v>95</v>
      </c>
      <c r="C568" s="516" t="s">
        <v>5</v>
      </c>
      <c r="D568" s="291" t="s">
        <v>698</v>
      </c>
      <c r="E568" s="526"/>
      <c r="F568" s="522">
        <f t="shared" si="143"/>
        <v>134</v>
      </c>
      <c r="G568" s="522"/>
      <c r="H568" s="522">
        <f t="shared" si="144"/>
        <v>134</v>
      </c>
      <c r="I568" s="522"/>
      <c r="J568" s="522">
        <f t="shared" si="144"/>
        <v>134</v>
      </c>
      <c r="K568" s="522"/>
      <c r="L568" s="521"/>
      <c r="N568" s="521"/>
      <c r="O568" s="521"/>
      <c r="R568" s="21"/>
      <c r="S568" s="207"/>
      <c r="T568" s="208"/>
      <c r="U568" s="208"/>
      <c r="V568" s="209"/>
      <c r="W568" s="209"/>
      <c r="X568" s="210"/>
    </row>
    <row r="569" spans="1:24" s="155" customFormat="1" ht="31.5" x14ac:dyDescent="0.25">
      <c r="A569" s="523" t="s">
        <v>753</v>
      </c>
      <c r="B569" s="15" t="s">
        <v>95</v>
      </c>
      <c r="C569" s="516" t="s">
        <v>5</v>
      </c>
      <c r="D569" s="291" t="s">
        <v>699</v>
      </c>
      <c r="E569" s="526"/>
      <c r="F569" s="522">
        <f t="shared" si="143"/>
        <v>134</v>
      </c>
      <c r="G569" s="522"/>
      <c r="H569" s="522">
        <f t="shared" si="144"/>
        <v>134</v>
      </c>
      <c r="I569" s="522"/>
      <c r="J569" s="522">
        <f t="shared" si="144"/>
        <v>134</v>
      </c>
      <c r="K569" s="522"/>
      <c r="L569" s="521"/>
      <c r="N569" s="521"/>
      <c r="O569" s="521"/>
      <c r="R569" s="21"/>
      <c r="S569" s="207"/>
      <c r="T569" s="208"/>
      <c r="U569" s="208"/>
      <c r="V569" s="209"/>
      <c r="W569" s="209"/>
      <c r="X569" s="210"/>
    </row>
    <row r="570" spans="1:24" s="155" customFormat="1" ht="31.5" x14ac:dyDescent="0.25">
      <c r="A570" s="377" t="s">
        <v>60</v>
      </c>
      <c r="B570" s="15" t="s">
        <v>95</v>
      </c>
      <c r="C570" s="516" t="s">
        <v>5</v>
      </c>
      <c r="D570" s="291" t="s">
        <v>699</v>
      </c>
      <c r="E570" s="526">
        <v>600</v>
      </c>
      <c r="F570" s="522">
        <f t="shared" si="143"/>
        <v>134</v>
      </c>
      <c r="G570" s="522"/>
      <c r="H570" s="522">
        <f t="shared" si="144"/>
        <v>134</v>
      </c>
      <c r="I570" s="522"/>
      <c r="J570" s="522">
        <f t="shared" si="144"/>
        <v>134</v>
      </c>
      <c r="K570" s="522"/>
      <c r="L570" s="521"/>
      <c r="N570" s="521"/>
      <c r="O570" s="521"/>
      <c r="R570" s="21"/>
      <c r="S570" s="207"/>
      <c r="T570" s="208"/>
      <c r="U570" s="208"/>
      <c r="V570" s="209"/>
      <c r="W570" s="209"/>
      <c r="X570" s="210"/>
    </row>
    <row r="571" spans="1:24" s="155" customFormat="1" x14ac:dyDescent="0.25">
      <c r="A571" s="523" t="s">
        <v>61</v>
      </c>
      <c r="B571" s="15" t="s">
        <v>95</v>
      </c>
      <c r="C571" s="516" t="s">
        <v>5</v>
      </c>
      <c r="D571" s="291" t="s">
        <v>699</v>
      </c>
      <c r="E571" s="526">
        <v>610</v>
      </c>
      <c r="F571" s="522">
        <f>'ведом. 2025-2027'!AD331</f>
        <v>134</v>
      </c>
      <c r="G571" s="524"/>
      <c r="H571" s="522">
        <f>'ведом. 2025-2027'!AE331</f>
        <v>134</v>
      </c>
      <c r="I571" s="522"/>
      <c r="J571" s="522">
        <f>'ведом. 2025-2027'!AF331</f>
        <v>134</v>
      </c>
      <c r="K571" s="522"/>
      <c r="L571" s="521"/>
      <c r="N571" s="521"/>
      <c r="O571" s="521"/>
      <c r="R571" s="21"/>
      <c r="S571" s="207"/>
      <c r="T571" s="208"/>
      <c r="U571" s="208"/>
      <c r="V571" s="209"/>
      <c r="W571" s="209"/>
      <c r="X571" s="210"/>
    </row>
    <row r="572" spans="1:24" s="138" customFormat="1" x14ac:dyDescent="0.25">
      <c r="A572" s="384" t="s">
        <v>4</v>
      </c>
      <c r="B572" s="193" t="s">
        <v>8</v>
      </c>
      <c r="C572" s="183"/>
      <c r="D572" s="280"/>
      <c r="E572" s="330"/>
      <c r="F572" s="161">
        <f t="shared" ref="F572:K572" si="145">F573+F597+F660+F693+F717</f>
        <v>1573607.3000000005</v>
      </c>
      <c r="G572" s="347">
        <f t="shared" si="145"/>
        <v>890322.10000000009</v>
      </c>
      <c r="H572" s="161">
        <f t="shared" si="145"/>
        <v>1344677</v>
      </c>
      <c r="I572" s="161">
        <f t="shared" si="145"/>
        <v>881357.4</v>
      </c>
      <c r="J572" s="161">
        <f t="shared" si="145"/>
        <v>1341475.8</v>
      </c>
      <c r="K572" s="161">
        <f t="shared" si="145"/>
        <v>869933.4</v>
      </c>
      <c r="L572" s="154"/>
      <c r="N572" s="154"/>
      <c r="O572" s="154"/>
    </row>
    <row r="573" spans="1:24" s="138" customFormat="1" x14ac:dyDescent="0.25">
      <c r="A573" s="375" t="s">
        <v>19</v>
      </c>
      <c r="B573" s="191" t="s">
        <v>8</v>
      </c>
      <c r="C573" s="4" t="s">
        <v>29</v>
      </c>
      <c r="D573" s="156"/>
      <c r="E573" s="325"/>
      <c r="F573" s="159">
        <f t="shared" ref="F573:K574" si="146">F574</f>
        <v>479897.8</v>
      </c>
      <c r="G573" s="306">
        <f t="shared" si="146"/>
        <v>275915</v>
      </c>
      <c r="H573" s="522">
        <f t="shared" si="146"/>
        <v>461823.3</v>
      </c>
      <c r="I573" s="522">
        <f t="shared" si="146"/>
        <v>273752</v>
      </c>
      <c r="J573" s="522">
        <f t="shared" si="146"/>
        <v>467723.5</v>
      </c>
      <c r="K573" s="522">
        <f t="shared" si="146"/>
        <v>273752</v>
      </c>
      <c r="L573" s="154"/>
      <c r="N573" s="154"/>
      <c r="O573" s="154"/>
    </row>
    <row r="574" spans="1:24" s="177" customFormat="1" x14ac:dyDescent="0.25">
      <c r="A574" s="385" t="s">
        <v>262</v>
      </c>
      <c r="B574" s="196" t="s">
        <v>8</v>
      </c>
      <c r="C574" s="4" t="s">
        <v>29</v>
      </c>
      <c r="D574" s="156" t="s">
        <v>100</v>
      </c>
      <c r="E574" s="325"/>
      <c r="F574" s="159">
        <f t="shared" si="146"/>
        <v>479897.8</v>
      </c>
      <c r="G574" s="306">
        <f t="shared" si="146"/>
        <v>275915</v>
      </c>
      <c r="H574" s="522">
        <f t="shared" si="146"/>
        <v>461823.3</v>
      </c>
      <c r="I574" s="522">
        <f t="shared" si="146"/>
        <v>273752</v>
      </c>
      <c r="J574" s="522">
        <f t="shared" si="146"/>
        <v>467723.5</v>
      </c>
      <c r="K574" s="522">
        <f t="shared" si="146"/>
        <v>273752</v>
      </c>
      <c r="L574" s="154"/>
      <c r="N574" s="154"/>
      <c r="O574" s="154"/>
    </row>
    <row r="575" spans="1:24" s="138" customFormat="1" x14ac:dyDescent="0.25">
      <c r="A575" s="255" t="s">
        <v>265</v>
      </c>
      <c r="B575" s="196" t="s">
        <v>8</v>
      </c>
      <c r="C575" s="4" t="s">
        <v>29</v>
      </c>
      <c r="D575" s="156" t="s">
        <v>117</v>
      </c>
      <c r="E575" s="326"/>
      <c r="F575" s="159">
        <f>F576+F593</f>
        <v>479897.8</v>
      </c>
      <c r="G575" s="522">
        <f t="shared" ref="G575:K575" si="147">G576+G593</f>
        <v>275915</v>
      </c>
      <c r="H575" s="522">
        <f t="shared" si="147"/>
        <v>461823.3</v>
      </c>
      <c r="I575" s="522">
        <f t="shared" si="147"/>
        <v>273752</v>
      </c>
      <c r="J575" s="522">
        <f t="shared" si="147"/>
        <v>467723.5</v>
      </c>
      <c r="K575" s="522">
        <f t="shared" si="147"/>
        <v>273752</v>
      </c>
      <c r="L575" s="154"/>
      <c r="N575" s="154"/>
      <c r="O575" s="154"/>
    </row>
    <row r="576" spans="1:24" s="138" customFormat="1" ht="31.5" x14ac:dyDescent="0.25">
      <c r="A576" s="255" t="s">
        <v>448</v>
      </c>
      <c r="B576" s="196" t="s">
        <v>8</v>
      </c>
      <c r="C576" s="4" t="s">
        <v>29</v>
      </c>
      <c r="D576" s="156" t="s">
        <v>447</v>
      </c>
      <c r="E576" s="326"/>
      <c r="F576" s="159">
        <f>F577+F584+F587+F590</f>
        <v>477734.8</v>
      </c>
      <c r="G576" s="522">
        <f t="shared" ref="G576:K576" si="148">G577+G584+G587+G590</f>
        <v>273752</v>
      </c>
      <c r="H576" s="522">
        <f t="shared" si="148"/>
        <v>461823.3</v>
      </c>
      <c r="I576" s="522">
        <f t="shared" si="148"/>
        <v>273752</v>
      </c>
      <c r="J576" s="522">
        <f t="shared" si="148"/>
        <v>467723.5</v>
      </c>
      <c r="K576" s="522">
        <f t="shared" si="148"/>
        <v>273752</v>
      </c>
      <c r="L576" s="154"/>
      <c r="N576" s="154"/>
      <c r="O576" s="154"/>
    </row>
    <row r="577" spans="1:15" s="138" customFormat="1" ht="31.5" x14ac:dyDescent="0.25">
      <c r="A577" s="375" t="s">
        <v>264</v>
      </c>
      <c r="B577" s="196" t="s">
        <v>8</v>
      </c>
      <c r="C577" s="4" t="s">
        <v>29</v>
      </c>
      <c r="D577" s="156" t="s">
        <v>450</v>
      </c>
      <c r="E577" s="341"/>
      <c r="F577" s="159">
        <f>F578+F581</f>
        <v>203982.8</v>
      </c>
      <c r="G577" s="159"/>
      <c r="H577" s="522">
        <f>H578</f>
        <v>188071.3</v>
      </c>
      <c r="I577" s="522"/>
      <c r="J577" s="522">
        <f>J578</f>
        <v>193971.5</v>
      </c>
      <c r="K577" s="522"/>
      <c r="L577" s="154"/>
      <c r="N577" s="154"/>
      <c r="O577" s="154"/>
    </row>
    <row r="578" spans="1:15" s="138" customFormat="1" ht="31.5" x14ac:dyDescent="0.25">
      <c r="A578" s="375" t="s">
        <v>333</v>
      </c>
      <c r="B578" s="196" t="s">
        <v>8</v>
      </c>
      <c r="C578" s="4" t="s">
        <v>29</v>
      </c>
      <c r="D578" s="156" t="s">
        <v>451</v>
      </c>
      <c r="E578" s="326"/>
      <c r="F578" s="159">
        <f>F579</f>
        <v>184081.8</v>
      </c>
      <c r="G578" s="306"/>
      <c r="H578" s="522">
        <f>H579</f>
        <v>188071.3</v>
      </c>
      <c r="I578" s="522"/>
      <c r="J578" s="522">
        <f>J579</f>
        <v>193971.5</v>
      </c>
      <c r="K578" s="522"/>
      <c r="L578" s="154"/>
      <c r="N578" s="154"/>
      <c r="O578" s="154"/>
    </row>
    <row r="579" spans="1:15" s="138" customFormat="1" ht="31.5" x14ac:dyDescent="0.25">
      <c r="A579" s="375" t="s">
        <v>60</v>
      </c>
      <c r="B579" s="196" t="s">
        <v>8</v>
      </c>
      <c r="C579" s="4" t="s">
        <v>29</v>
      </c>
      <c r="D579" s="156" t="s">
        <v>451</v>
      </c>
      <c r="E579" s="326">
        <v>600</v>
      </c>
      <c r="F579" s="159">
        <f>F580</f>
        <v>184081.8</v>
      </c>
      <c r="G579" s="306"/>
      <c r="H579" s="522">
        <f>H580</f>
        <v>188071.3</v>
      </c>
      <c r="I579" s="522"/>
      <c r="J579" s="522">
        <f>J580</f>
        <v>193971.5</v>
      </c>
      <c r="K579" s="522"/>
      <c r="L579" s="154"/>
      <c r="N579" s="154"/>
      <c r="O579" s="154"/>
    </row>
    <row r="580" spans="1:15" s="138" customFormat="1" x14ac:dyDescent="0.25">
      <c r="A580" s="375" t="s">
        <v>61</v>
      </c>
      <c r="B580" s="191" t="s">
        <v>8</v>
      </c>
      <c r="C580" s="4" t="s">
        <v>29</v>
      </c>
      <c r="D580" s="156" t="s">
        <v>451</v>
      </c>
      <c r="E580" s="326">
        <v>610</v>
      </c>
      <c r="F580" s="159">
        <f>'ведом. 2025-2027'!AD640</f>
        <v>184081.8</v>
      </c>
      <c r="G580" s="306"/>
      <c r="H580" s="522">
        <f>'ведом. 2025-2027'!AE640</f>
        <v>188071.3</v>
      </c>
      <c r="I580" s="522"/>
      <c r="J580" s="522">
        <f>'ведом. 2025-2027'!AF640</f>
        <v>193971.5</v>
      </c>
      <c r="K580" s="522"/>
      <c r="L580" s="154"/>
      <c r="N580" s="154"/>
      <c r="O580" s="154"/>
    </row>
    <row r="581" spans="1:15" s="519" customFormat="1" ht="47.25" x14ac:dyDescent="0.25">
      <c r="A581" s="451" t="s">
        <v>728</v>
      </c>
      <c r="B581" s="477" t="s">
        <v>8</v>
      </c>
      <c r="C581" s="453" t="s">
        <v>29</v>
      </c>
      <c r="D581" s="542" t="s">
        <v>823</v>
      </c>
      <c r="E581" s="454"/>
      <c r="F581" s="522">
        <f>F582</f>
        <v>19901</v>
      </c>
      <c r="G581" s="522"/>
      <c r="H581" s="522">
        <f t="shared" ref="H581:J582" si="149">H582</f>
        <v>0</v>
      </c>
      <c r="I581" s="522"/>
      <c r="J581" s="522">
        <f t="shared" si="149"/>
        <v>0</v>
      </c>
      <c r="K581" s="522"/>
      <c r="L581" s="521"/>
      <c r="N581" s="521"/>
      <c r="O581" s="521"/>
    </row>
    <row r="582" spans="1:15" s="519" customFormat="1" ht="31.5" x14ac:dyDescent="0.25">
      <c r="A582" s="451" t="s">
        <v>60</v>
      </c>
      <c r="B582" s="477" t="s">
        <v>8</v>
      </c>
      <c r="C582" s="453" t="s">
        <v>29</v>
      </c>
      <c r="D582" s="542" t="s">
        <v>823</v>
      </c>
      <c r="E582" s="454">
        <v>600</v>
      </c>
      <c r="F582" s="522">
        <f>F583</f>
        <v>19901</v>
      </c>
      <c r="G582" s="522"/>
      <c r="H582" s="522">
        <f t="shared" si="149"/>
        <v>0</v>
      </c>
      <c r="I582" s="522"/>
      <c r="J582" s="522">
        <f t="shared" si="149"/>
        <v>0</v>
      </c>
      <c r="K582" s="522"/>
      <c r="L582" s="521"/>
      <c r="N582" s="521"/>
      <c r="O582" s="521"/>
    </row>
    <row r="583" spans="1:15" s="519" customFormat="1" x14ac:dyDescent="0.25">
      <c r="A583" s="451" t="s">
        <v>61</v>
      </c>
      <c r="B583" s="453" t="s">
        <v>8</v>
      </c>
      <c r="C583" s="453" t="s">
        <v>29</v>
      </c>
      <c r="D583" s="542" t="s">
        <v>823</v>
      </c>
      <c r="E583" s="454">
        <v>610</v>
      </c>
      <c r="F583" s="522">
        <f>'ведом. 2025-2027'!AD643</f>
        <v>19901</v>
      </c>
      <c r="G583" s="524"/>
      <c r="H583" s="522">
        <f>'ведом. 2025-2027'!AE643</f>
        <v>0</v>
      </c>
      <c r="I583" s="522"/>
      <c r="J583" s="522">
        <f>'ведом. 2025-2027'!AF643</f>
        <v>0</v>
      </c>
      <c r="K583" s="522"/>
      <c r="L583" s="521"/>
      <c r="N583" s="521"/>
      <c r="O583" s="521"/>
    </row>
    <row r="584" spans="1:15" s="138" customFormat="1" ht="141.75" x14ac:dyDescent="0.25">
      <c r="A584" s="256" t="s">
        <v>400</v>
      </c>
      <c r="B584" s="192" t="s">
        <v>8</v>
      </c>
      <c r="C584" s="186" t="s">
        <v>29</v>
      </c>
      <c r="D584" s="156" t="s">
        <v>471</v>
      </c>
      <c r="E584" s="341"/>
      <c r="F584" s="159">
        <f t="shared" ref="F584:K585" si="150">F585</f>
        <v>249569</v>
      </c>
      <c r="G584" s="306">
        <f t="shared" si="150"/>
        <v>249569</v>
      </c>
      <c r="H584" s="522">
        <f t="shared" si="150"/>
        <v>249569</v>
      </c>
      <c r="I584" s="522">
        <f t="shared" si="150"/>
        <v>249569</v>
      </c>
      <c r="J584" s="522">
        <f t="shared" si="150"/>
        <v>249569</v>
      </c>
      <c r="K584" s="522">
        <f t="shared" si="150"/>
        <v>249569</v>
      </c>
      <c r="L584" s="154"/>
      <c r="N584" s="154"/>
      <c r="O584" s="154"/>
    </row>
    <row r="585" spans="1:15" s="138" customFormat="1" ht="31.5" x14ac:dyDescent="0.25">
      <c r="A585" s="375" t="s">
        <v>60</v>
      </c>
      <c r="B585" s="192" t="s">
        <v>8</v>
      </c>
      <c r="C585" s="186" t="s">
        <v>29</v>
      </c>
      <c r="D585" s="156" t="s">
        <v>471</v>
      </c>
      <c r="E585" s="325">
        <v>600</v>
      </c>
      <c r="F585" s="159">
        <f t="shared" si="150"/>
        <v>249569</v>
      </c>
      <c r="G585" s="306">
        <f t="shared" si="150"/>
        <v>249569</v>
      </c>
      <c r="H585" s="522">
        <f t="shared" si="150"/>
        <v>249569</v>
      </c>
      <c r="I585" s="522">
        <f t="shared" si="150"/>
        <v>249569</v>
      </c>
      <c r="J585" s="522">
        <f t="shared" si="150"/>
        <v>249569</v>
      </c>
      <c r="K585" s="522">
        <f t="shared" si="150"/>
        <v>249569</v>
      </c>
      <c r="L585" s="154"/>
      <c r="N585" s="154"/>
      <c r="O585" s="154"/>
    </row>
    <row r="586" spans="1:15" s="138" customFormat="1" x14ac:dyDescent="0.25">
      <c r="A586" s="375" t="s">
        <v>61</v>
      </c>
      <c r="B586" s="196" t="s">
        <v>8</v>
      </c>
      <c r="C586" s="4" t="s">
        <v>29</v>
      </c>
      <c r="D586" s="156" t="s">
        <v>471</v>
      </c>
      <c r="E586" s="325">
        <v>610</v>
      </c>
      <c r="F586" s="159">
        <f>'ведом. 2025-2027'!AD646</f>
        <v>249569</v>
      </c>
      <c r="G586" s="306">
        <f>F586</f>
        <v>249569</v>
      </c>
      <c r="H586" s="522">
        <f>'ведом. 2025-2027'!AE646</f>
        <v>249569</v>
      </c>
      <c r="I586" s="522">
        <f>H586</f>
        <v>249569</v>
      </c>
      <c r="J586" s="522">
        <f>'ведом. 2025-2027'!AF646</f>
        <v>249569</v>
      </c>
      <c r="K586" s="522">
        <f>J586</f>
        <v>249569</v>
      </c>
      <c r="L586" s="154"/>
      <c r="N586" s="154"/>
      <c r="O586" s="154"/>
    </row>
    <row r="587" spans="1:15" s="177" customFormat="1" ht="31.5" x14ac:dyDescent="0.25">
      <c r="A587" s="523" t="s">
        <v>773</v>
      </c>
      <c r="B587" s="8" t="s">
        <v>8</v>
      </c>
      <c r="C587" s="186" t="s">
        <v>29</v>
      </c>
      <c r="D587" s="291" t="s">
        <v>624</v>
      </c>
      <c r="E587" s="432"/>
      <c r="F587" s="159">
        <f t="shared" ref="F587:K588" si="151">F588</f>
        <v>200</v>
      </c>
      <c r="G587" s="159">
        <f t="shared" si="151"/>
        <v>200</v>
      </c>
      <c r="H587" s="522">
        <f t="shared" si="151"/>
        <v>200</v>
      </c>
      <c r="I587" s="522">
        <f t="shared" si="151"/>
        <v>200</v>
      </c>
      <c r="J587" s="522">
        <f t="shared" si="151"/>
        <v>200</v>
      </c>
      <c r="K587" s="522">
        <f t="shared" si="151"/>
        <v>200</v>
      </c>
      <c r="L587" s="154"/>
      <c r="N587" s="154"/>
      <c r="O587" s="154"/>
    </row>
    <row r="588" spans="1:15" s="177" customFormat="1" ht="31.5" x14ac:dyDescent="0.25">
      <c r="A588" s="253" t="s">
        <v>60</v>
      </c>
      <c r="B588" s="8" t="s">
        <v>8</v>
      </c>
      <c r="C588" s="186" t="s">
        <v>29</v>
      </c>
      <c r="D588" s="291" t="s">
        <v>624</v>
      </c>
      <c r="E588" s="407">
        <v>600</v>
      </c>
      <c r="F588" s="159">
        <f t="shared" si="151"/>
        <v>200</v>
      </c>
      <c r="G588" s="159">
        <f t="shared" si="151"/>
        <v>200</v>
      </c>
      <c r="H588" s="522">
        <f t="shared" si="151"/>
        <v>200</v>
      </c>
      <c r="I588" s="522">
        <f t="shared" si="151"/>
        <v>200</v>
      </c>
      <c r="J588" s="522">
        <f t="shared" si="151"/>
        <v>200</v>
      </c>
      <c r="K588" s="522">
        <f t="shared" si="151"/>
        <v>200</v>
      </c>
      <c r="L588" s="154"/>
      <c r="N588" s="154"/>
      <c r="O588" s="154"/>
    </row>
    <row r="589" spans="1:15" s="177" customFormat="1" x14ac:dyDescent="0.25">
      <c r="A589" s="253" t="s">
        <v>61</v>
      </c>
      <c r="B589" s="2" t="s">
        <v>8</v>
      </c>
      <c r="C589" s="4" t="s">
        <v>29</v>
      </c>
      <c r="D589" s="291" t="s">
        <v>624</v>
      </c>
      <c r="E589" s="407">
        <v>610</v>
      </c>
      <c r="F589" s="159">
        <f>'ведом. 2025-2027'!AD649</f>
        <v>200</v>
      </c>
      <c r="G589" s="306">
        <f>F589</f>
        <v>200</v>
      </c>
      <c r="H589" s="522">
        <f>'ведом. 2025-2027'!AE649</f>
        <v>200</v>
      </c>
      <c r="I589" s="522">
        <f>H589</f>
        <v>200</v>
      </c>
      <c r="J589" s="522">
        <f>'ведом. 2025-2027'!AF649</f>
        <v>200</v>
      </c>
      <c r="K589" s="522">
        <f>J589</f>
        <v>200</v>
      </c>
      <c r="L589" s="154"/>
      <c r="N589" s="154"/>
      <c r="O589" s="154"/>
    </row>
    <row r="590" spans="1:15" s="519" customFormat="1" ht="47.25" x14ac:dyDescent="0.25">
      <c r="A590" s="451" t="s">
        <v>780</v>
      </c>
      <c r="B590" s="477" t="s">
        <v>8</v>
      </c>
      <c r="C590" s="454" t="s">
        <v>29</v>
      </c>
      <c r="D590" s="455" t="s">
        <v>662</v>
      </c>
      <c r="E590" s="460"/>
      <c r="F590" s="522">
        <f>F591</f>
        <v>23983</v>
      </c>
      <c r="G590" s="522">
        <f t="shared" ref="G590:K591" si="152">G591</f>
        <v>23983</v>
      </c>
      <c r="H590" s="522">
        <f t="shared" si="152"/>
        <v>23983</v>
      </c>
      <c r="I590" s="522">
        <f t="shared" si="152"/>
        <v>23983</v>
      </c>
      <c r="J590" s="522">
        <f t="shared" si="152"/>
        <v>23983</v>
      </c>
      <c r="K590" s="522">
        <f t="shared" si="152"/>
        <v>23983</v>
      </c>
      <c r="L590" s="521"/>
      <c r="N590" s="521"/>
      <c r="O590" s="521"/>
    </row>
    <row r="591" spans="1:15" s="519" customFormat="1" ht="31.5" x14ac:dyDescent="0.25">
      <c r="A591" s="451" t="s">
        <v>60</v>
      </c>
      <c r="B591" s="477" t="s">
        <v>8</v>
      </c>
      <c r="C591" s="454" t="s">
        <v>29</v>
      </c>
      <c r="D591" s="455" t="s">
        <v>662</v>
      </c>
      <c r="E591" s="460">
        <v>600</v>
      </c>
      <c r="F591" s="522">
        <f>F592</f>
        <v>23983</v>
      </c>
      <c r="G591" s="522">
        <f t="shared" si="152"/>
        <v>23983</v>
      </c>
      <c r="H591" s="522">
        <f t="shared" si="152"/>
        <v>23983</v>
      </c>
      <c r="I591" s="522">
        <f t="shared" si="152"/>
        <v>23983</v>
      </c>
      <c r="J591" s="522">
        <f t="shared" si="152"/>
        <v>23983</v>
      </c>
      <c r="K591" s="522">
        <f t="shared" si="152"/>
        <v>23983</v>
      </c>
      <c r="L591" s="521"/>
      <c r="N591" s="521"/>
      <c r="O591" s="521"/>
    </row>
    <row r="592" spans="1:15" s="519" customFormat="1" x14ac:dyDescent="0.25">
      <c r="A592" s="451" t="s">
        <v>61</v>
      </c>
      <c r="B592" s="477" t="s">
        <v>8</v>
      </c>
      <c r="C592" s="454" t="s">
        <v>29</v>
      </c>
      <c r="D592" s="455" t="s">
        <v>662</v>
      </c>
      <c r="E592" s="460">
        <v>610</v>
      </c>
      <c r="F592" s="522">
        <f>'ведом. 2025-2027'!AD652</f>
        <v>23983</v>
      </c>
      <c r="G592" s="524">
        <f>F592</f>
        <v>23983</v>
      </c>
      <c r="H592" s="522">
        <f>'ведом. 2025-2027'!AE652</f>
        <v>23983</v>
      </c>
      <c r="I592" s="522">
        <f>H592</f>
        <v>23983</v>
      </c>
      <c r="J592" s="522">
        <f>'ведом. 2025-2027'!AF652</f>
        <v>23983</v>
      </c>
      <c r="K592" s="522">
        <f>J592</f>
        <v>23983</v>
      </c>
      <c r="L592" s="521"/>
      <c r="N592" s="521"/>
      <c r="O592" s="521"/>
    </row>
    <row r="593" spans="1:15" s="519" customFormat="1" ht="47.25" x14ac:dyDescent="0.25">
      <c r="A593" s="459" t="s">
        <v>267</v>
      </c>
      <c r="B593" s="477" t="s">
        <v>8</v>
      </c>
      <c r="C593" s="454" t="s">
        <v>29</v>
      </c>
      <c r="D593" s="458" t="s">
        <v>126</v>
      </c>
      <c r="E593" s="456"/>
      <c r="F593" s="522">
        <f>F594</f>
        <v>2163</v>
      </c>
      <c r="G593" s="522">
        <f t="shared" ref="G593:J595" si="153">G594</f>
        <v>2163</v>
      </c>
      <c r="H593" s="522">
        <f t="shared" si="153"/>
        <v>0</v>
      </c>
      <c r="I593" s="522"/>
      <c r="J593" s="522">
        <f t="shared" si="153"/>
        <v>0</v>
      </c>
      <c r="K593" s="522"/>
      <c r="L593" s="521"/>
      <c r="N593" s="521"/>
      <c r="O593" s="521"/>
    </row>
    <row r="594" spans="1:15" s="519" customFormat="1" ht="63" x14ac:dyDescent="0.25">
      <c r="A594" s="451" t="s">
        <v>801</v>
      </c>
      <c r="B594" s="477" t="s">
        <v>8</v>
      </c>
      <c r="C594" s="454" t="s">
        <v>29</v>
      </c>
      <c r="D594" s="458" t="s">
        <v>802</v>
      </c>
      <c r="E594" s="456"/>
      <c r="F594" s="522">
        <f>F595</f>
        <v>2163</v>
      </c>
      <c r="G594" s="522">
        <f t="shared" si="153"/>
        <v>2163</v>
      </c>
      <c r="H594" s="522">
        <f t="shared" si="153"/>
        <v>0</v>
      </c>
      <c r="I594" s="522"/>
      <c r="J594" s="522">
        <f t="shared" si="153"/>
        <v>0</v>
      </c>
      <c r="K594" s="522"/>
      <c r="L594" s="521"/>
      <c r="N594" s="521"/>
      <c r="O594" s="521"/>
    </row>
    <row r="595" spans="1:15" s="519" customFormat="1" ht="31.5" x14ac:dyDescent="0.25">
      <c r="A595" s="451" t="s">
        <v>60</v>
      </c>
      <c r="B595" s="477" t="s">
        <v>8</v>
      </c>
      <c r="C595" s="454" t="s">
        <v>29</v>
      </c>
      <c r="D595" s="458" t="s">
        <v>802</v>
      </c>
      <c r="E595" s="456">
        <v>600</v>
      </c>
      <c r="F595" s="522">
        <f>F596</f>
        <v>2163</v>
      </c>
      <c r="G595" s="522">
        <f t="shared" si="153"/>
        <v>2163</v>
      </c>
      <c r="H595" s="522">
        <f t="shared" si="153"/>
        <v>0</v>
      </c>
      <c r="I595" s="522"/>
      <c r="J595" s="708">
        <f t="shared" si="153"/>
        <v>0</v>
      </c>
      <c r="K595" s="635"/>
      <c r="L595" s="506"/>
      <c r="N595" s="521"/>
      <c r="O595" s="521"/>
    </row>
    <row r="596" spans="1:15" s="519" customFormat="1" x14ac:dyDescent="0.25">
      <c r="A596" s="451" t="s">
        <v>61</v>
      </c>
      <c r="B596" s="477" t="s">
        <v>8</v>
      </c>
      <c r="C596" s="454" t="s">
        <v>29</v>
      </c>
      <c r="D596" s="458" t="s">
        <v>802</v>
      </c>
      <c r="E596" s="456">
        <v>610</v>
      </c>
      <c r="F596" s="522">
        <f>'ведом. 2025-2027'!AD656</f>
        <v>2163</v>
      </c>
      <c r="G596" s="524">
        <f>F596</f>
        <v>2163</v>
      </c>
      <c r="H596" s="522">
        <f>'ведом. 2025-2027'!AE656</f>
        <v>0</v>
      </c>
      <c r="I596" s="522"/>
      <c r="J596" s="522">
        <f>'ведом. 2025-2027'!AF656</f>
        <v>0</v>
      </c>
      <c r="K596" s="522"/>
      <c r="L596" s="521"/>
      <c r="N596" s="521"/>
      <c r="O596" s="521"/>
    </row>
    <row r="597" spans="1:15" s="138" customFormat="1" x14ac:dyDescent="0.25">
      <c r="A597" s="253" t="s">
        <v>34</v>
      </c>
      <c r="B597" s="196" t="s">
        <v>8</v>
      </c>
      <c r="C597" s="4" t="s">
        <v>30</v>
      </c>
      <c r="D597" s="26"/>
      <c r="E597" s="325"/>
      <c r="F597" s="159">
        <f>F598</f>
        <v>897446.70000000019</v>
      </c>
      <c r="G597" s="522">
        <f t="shared" ref="G597:K597" si="154">G598</f>
        <v>597880.30000000005</v>
      </c>
      <c r="H597" s="522">
        <f t="shared" si="154"/>
        <v>727748.5</v>
      </c>
      <c r="I597" s="522">
        <f t="shared" si="154"/>
        <v>598350.4</v>
      </c>
      <c r="J597" s="522">
        <f t="shared" si="154"/>
        <v>716115.5</v>
      </c>
      <c r="K597" s="522">
        <f t="shared" si="154"/>
        <v>586893.4</v>
      </c>
      <c r="L597" s="154"/>
      <c r="N597" s="154"/>
      <c r="O597" s="154"/>
    </row>
    <row r="598" spans="1:15" s="138" customFormat="1" x14ac:dyDescent="0.25">
      <c r="A598" s="385" t="s">
        <v>262</v>
      </c>
      <c r="B598" s="196" t="s">
        <v>8</v>
      </c>
      <c r="C598" s="4" t="s">
        <v>30</v>
      </c>
      <c r="D598" s="156" t="s">
        <v>100</v>
      </c>
      <c r="E598" s="326"/>
      <c r="F598" s="160">
        <f>F599</f>
        <v>897446.70000000019</v>
      </c>
      <c r="G598" s="160">
        <f t="shared" ref="G598:K598" si="155">G599</f>
        <v>597880.30000000005</v>
      </c>
      <c r="H598" s="160">
        <f t="shared" si="155"/>
        <v>727748.5</v>
      </c>
      <c r="I598" s="160">
        <f t="shared" si="155"/>
        <v>598350.4</v>
      </c>
      <c r="J598" s="160">
        <f t="shared" si="155"/>
        <v>716115.5</v>
      </c>
      <c r="K598" s="160">
        <f t="shared" si="155"/>
        <v>586893.4</v>
      </c>
      <c r="L598" s="154"/>
      <c r="N598" s="154"/>
      <c r="O598" s="154"/>
    </row>
    <row r="599" spans="1:15" s="138" customFormat="1" x14ac:dyDescent="0.25">
      <c r="A599" s="255" t="s">
        <v>265</v>
      </c>
      <c r="B599" s="191" t="s">
        <v>8</v>
      </c>
      <c r="C599" s="4" t="s">
        <v>30</v>
      </c>
      <c r="D599" s="156" t="s">
        <v>117</v>
      </c>
      <c r="E599" s="326"/>
      <c r="F599" s="160">
        <f>F600+F625+F639+F650+F646+F635</f>
        <v>897446.70000000019</v>
      </c>
      <c r="G599" s="160">
        <f t="shared" ref="G599:K599" si="156">G600+G625+G639+G650+G646</f>
        <v>597880.30000000005</v>
      </c>
      <c r="H599" s="160">
        <f t="shared" si="156"/>
        <v>727748.5</v>
      </c>
      <c r="I599" s="160">
        <f t="shared" si="156"/>
        <v>598350.4</v>
      </c>
      <c r="J599" s="160">
        <f t="shared" si="156"/>
        <v>716115.5</v>
      </c>
      <c r="K599" s="160">
        <f t="shared" si="156"/>
        <v>586893.4</v>
      </c>
      <c r="L599" s="154"/>
      <c r="N599" s="154"/>
      <c r="O599" s="154"/>
    </row>
    <row r="600" spans="1:15" s="138" customFormat="1" ht="31.5" x14ac:dyDescent="0.25">
      <c r="A600" s="271" t="s">
        <v>266</v>
      </c>
      <c r="B600" s="191" t="s">
        <v>8</v>
      </c>
      <c r="C600" s="4" t="s">
        <v>30</v>
      </c>
      <c r="D600" s="156" t="s">
        <v>447</v>
      </c>
      <c r="E600" s="326"/>
      <c r="F600" s="160">
        <f>F604+F613+F616+F601+F619+F622</f>
        <v>798273.3</v>
      </c>
      <c r="G600" s="160">
        <f t="shared" ref="G600:K600" si="157">G604+G613+G616+G601+G619+G622</f>
        <v>510423</v>
      </c>
      <c r="H600" s="160">
        <f t="shared" si="157"/>
        <v>630900.1</v>
      </c>
      <c r="I600" s="160">
        <f t="shared" si="157"/>
        <v>508513</v>
      </c>
      <c r="J600" s="160">
        <f t="shared" si="157"/>
        <v>632000.5</v>
      </c>
      <c r="K600" s="160">
        <f t="shared" si="157"/>
        <v>508513</v>
      </c>
      <c r="L600" s="154"/>
      <c r="N600" s="154"/>
      <c r="O600" s="154"/>
    </row>
    <row r="601" spans="1:15" s="177" customFormat="1" ht="31.5" x14ac:dyDescent="0.25">
      <c r="A601" s="459" t="s">
        <v>685</v>
      </c>
      <c r="B601" s="2" t="s">
        <v>8</v>
      </c>
      <c r="C601" s="4" t="s">
        <v>30</v>
      </c>
      <c r="D601" s="458" t="s">
        <v>684</v>
      </c>
      <c r="E601" s="431"/>
      <c r="F601" s="160">
        <f>F602</f>
        <v>30653.9</v>
      </c>
      <c r="G601" s="160"/>
      <c r="H601" s="160">
        <f t="shared" ref="H601:J602" si="158">H602</f>
        <v>21201.200000000001</v>
      </c>
      <c r="I601" s="160"/>
      <c r="J601" s="160">
        <f t="shared" si="158"/>
        <v>19198.599999999999</v>
      </c>
      <c r="K601" s="160"/>
      <c r="L601" s="154"/>
      <c r="N601" s="154"/>
      <c r="O601" s="154"/>
    </row>
    <row r="602" spans="1:15" s="177" customFormat="1" x14ac:dyDescent="0.25">
      <c r="A602" s="523" t="s">
        <v>120</v>
      </c>
      <c r="B602" s="2" t="s">
        <v>8</v>
      </c>
      <c r="C602" s="4" t="s">
        <v>30</v>
      </c>
      <c r="D602" s="458" t="s">
        <v>684</v>
      </c>
      <c r="E602" s="429">
        <v>200</v>
      </c>
      <c r="F602" s="160">
        <f>F603</f>
        <v>30653.9</v>
      </c>
      <c r="G602" s="160"/>
      <c r="H602" s="160">
        <f t="shared" si="158"/>
        <v>21201.200000000001</v>
      </c>
      <c r="I602" s="160"/>
      <c r="J602" s="160">
        <f t="shared" si="158"/>
        <v>19198.599999999999</v>
      </c>
      <c r="K602" s="160"/>
      <c r="L602" s="154"/>
      <c r="N602" s="154"/>
      <c r="O602" s="154"/>
    </row>
    <row r="603" spans="1:15" s="177" customFormat="1" ht="31.5" x14ac:dyDescent="0.25">
      <c r="A603" s="523" t="s">
        <v>52</v>
      </c>
      <c r="B603" s="1" t="s">
        <v>8</v>
      </c>
      <c r="C603" s="4" t="s">
        <v>30</v>
      </c>
      <c r="D603" s="458" t="s">
        <v>684</v>
      </c>
      <c r="E603" s="429">
        <v>240</v>
      </c>
      <c r="F603" s="160">
        <f>'ведом. 2025-2027'!AD663</f>
        <v>30653.9</v>
      </c>
      <c r="G603" s="348"/>
      <c r="H603" s="160">
        <f>'ведом. 2025-2027'!AE663</f>
        <v>21201.200000000001</v>
      </c>
      <c r="I603" s="160"/>
      <c r="J603" s="160">
        <f>'ведом. 2025-2027'!AF663</f>
        <v>19198.599999999999</v>
      </c>
      <c r="K603" s="160"/>
      <c r="L603" s="154"/>
      <c r="N603" s="154"/>
      <c r="O603" s="154"/>
    </row>
    <row r="604" spans="1:15" s="138" customFormat="1" ht="47.25" x14ac:dyDescent="0.25">
      <c r="A604" s="255" t="s">
        <v>432</v>
      </c>
      <c r="B604" s="191" t="s">
        <v>8</v>
      </c>
      <c r="C604" s="4" t="s">
        <v>30</v>
      </c>
      <c r="D604" s="156" t="s">
        <v>468</v>
      </c>
      <c r="E604" s="326"/>
      <c r="F604" s="159">
        <f>F605+F608</f>
        <v>257196.40000000002</v>
      </c>
      <c r="G604" s="522"/>
      <c r="H604" s="522">
        <f t="shared" ref="H604:J604" si="159">H605+H608</f>
        <v>101185.9</v>
      </c>
      <c r="I604" s="522"/>
      <c r="J604" s="522">
        <f t="shared" si="159"/>
        <v>104288.90000000001</v>
      </c>
      <c r="K604" s="522"/>
      <c r="L604" s="154"/>
      <c r="N604" s="154"/>
      <c r="O604" s="154"/>
    </row>
    <row r="605" spans="1:15" s="138" customFormat="1" ht="47.25" x14ac:dyDescent="0.25">
      <c r="A605" s="375" t="s">
        <v>508</v>
      </c>
      <c r="B605" s="191" t="s">
        <v>8</v>
      </c>
      <c r="C605" s="4" t="s">
        <v>30</v>
      </c>
      <c r="D605" s="156" t="s">
        <v>469</v>
      </c>
      <c r="E605" s="341"/>
      <c r="F605" s="159">
        <f>F606</f>
        <v>117951.70000000001</v>
      </c>
      <c r="G605" s="306"/>
      <c r="H605" s="522">
        <f>H606</f>
        <v>101185.9</v>
      </c>
      <c r="I605" s="522"/>
      <c r="J605" s="522">
        <f>J606</f>
        <v>104288.90000000001</v>
      </c>
      <c r="K605" s="522"/>
      <c r="L605" s="154"/>
      <c r="N605" s="154"/>
      <c r="O605" s="154"/>
    </row>
    <row r="606" spans="1:15" s="138" customFormat="1" ht="31.5" x14ac:dyDescent="0.25">
      <c r="A606" s="375" t="s">
        <v>60</v>
      </c>
      <c r="B606" s="191" t="s">
        <v>8</v>
      </c>
      <c r="C606" s="4" t="s">
        <v>30</v>
      </c>
      <c r="D606" s="156" t="s">
        <v>469</v>
      </c>
      <c r="E606" s="326">
        <v>600</v>
      </c>
      <c r="F606" s="159">
        <f>F607</f>
        <v>117951.70000000001</v>
      </c>
      <c r="G606" s="306"/>
      <c r="H606" s="522">
        <f>H607</f>
        <v>101185.9</v>
      </c>
      <c r="I606" s="522"/>
      <c r="J606" s="522">
        <f>J607</f>
        <v>104288.90000000001</v>
      </c>
      <c r="K606" s="522"/>
      <c r="L606" s="154"/>
      <c r="N606" s="154"/>
      <c r="O606" s="154"/>
    </row>
    <row r="607" spans="1:15" s="138" customFormat="1" x14ac:dyDescent="0.25">
      <c r="A607" s="375" t="s">
        <v>61</v>
      </c>
      <c r="B607" s="191" t="s">
        <v>8</v>
      </c>
      <c r="C607" s="4" t="s">
        <v>30</v>
      </c>
      <c r="D607" s="156" t="s">
        <v>469</v>
      </c>
      <c r="E607" s="326">
        <v>610</v>
      </c>
      <c r="F607" s="159">
        <f>'ведом. 2025-2027'!AD667</f>
        <v>117951.70000000001</v>
      </c>
      <c r="G607" s="306"/>
      <c r="H607" s="522">
        <f>'ведом. 2025-2027'!AE667</f>
        <v>101185.9</v>
      </c>
      <c r="I607" s="522"/>
      <c r="J607" s="522">
        <f>'ведом. 2025-2027'!AF667</f>
        <v>104288.90000000001</v>
      </c>
      <c r="K607" s="522"/>
      <c r="L607" s="154"/>
      <c r="N607" s="154"/>
      <c r="O607" s="154"/>
    </row>
    <row r="608" spans="1:15" s="177" customFormat="1" ht="47.25" x14ac:dyDescent="0.25">
      <c r="A608" s="375" t="s">
        <v>728</v>
      </c>
      <c r="B608" s="191" t="s">
        <v>8</v>
      </c>
      <c r="C608" s="4" t="s">
        <v>30</v>
      </c>
      <c r="D608" s="156" t="s">
        <v>470</v>
      </c>
      <c r="E608" s="326"/>
      <c r="F608" s="159">
        <f>F611+F609</f>
        <v>139244.70000000001</v>
      </c>
      <c r="G608" s="306"/>
      <c r="H608" s="522">
        <f>H611</f>
        <v>0</v>
      </c>
      <c r="I608" s="522"/>
      <c r="J608" s="522">
        <f>J611</f>
        <v>0</v>
      </c>
      <c r="K608" s="522"/>
      <c r="L608" s="154"/>
      <c r="N608" s="154"/>
      <c r="O608" s="154"/>
    </row>
    <row r="609" spans="1:15" s="519" customFormat="1" x14ac:dyDescent="0.25">
      <c r="A609" s="451" t="s">
        <v>120</v>
      </c>
      <c r="B609" s="191" t="s">
        <v>8</v>
      </c>
      <c r="C609" s="516" t="s">
        <v>30</v>
      </c>
      <c r="D609" s="156" t="s">
        <v>470</v>
      </c>
      <c r="E609" s="326">
        <v>200</v>
      </c>
      <c r="F609" s="522">
        <f>F610</f>
        <v>124655.7</v>
      </c>
      <c r="G609" s="524"/>
      <c r="H609" s="522">
        <v>0</v>
      </c>
      <c r="I609" s="522"/>
      <c r="J609" s="522">
        <v>0</v>
      </c>
      <c r="K609" s="522"/>
      <c r="L609" s="521"/>
      <c r="N609" s="521"/>
      <c r="O609" s="521"/>
    </row>
    <row r="610" spans="1:15" s="519" customFormat="1" ht="31.5" x14ac:dyDescent="0.25">
      <c r="A610" s="451" t="s">
        <v>52</v>
      </c>
      <c r="B610" s="191" t="s">
        <v>8</v>
      </c>
      <c r="C610" s="516" t="s">
        <v>30</v>
      </c>
      <c r="D610" s="156" t="s">
        <v>470</v>
      </c>
      <c r="E610" s="326">
        <v>240</v>
      </c>
      <c r="F610" s="522">
        <f>'ведом. 2025-2027'!AD670</f>
        <v>124655.7</v>
      </c>
      <c r="G610" s="524"/>
      <c r="H610" s="522">
        <f>'ведом. 2025-2027'!AE670</f>
        <v>0</v>
      </c>
      <c r="I610" s="522"/>
      <c r="J610" s="522">
        <f>'ведом. 2025-2027'!AF670</f>
        <v>0</v>
      </c>
      <c r="K610" s="522"/>
      <c r="L610" s="521"/>
      <c r="N610" s="521"/>
      <c r="O610" s="521"/>
    </row>
    <row r="611" spans="1:15" s="138" customFormat="1" ht="31.5" x14ac:dyDescent="0.25">
      <c r="A611" s="375" t="s">
        <v>60</v>
      </c>
      <c r="B611" s="191" t="s">
        <v>8</v>
      </c>
      <c r="C611" s="4" t="s">
        <v>30</v>
      </c>
      <c r="D611" s="156" t="s">
        <v>470</v>
      </c>
      <c r="E611" s="326">
        <v>600</v>
      </c>
      <c r="F611" s="159">
        <f>F612</f>
        <v>14589</v>
      </c>
      <c r="G611" s="306"/>
      <c r="H611" s="522">
        <f>H612</f>
        <v>0</v>
      </c>
      <c r="I611" s="522"/>
      <c r="J611" s="522">
        <f>J612</f>
        <v>0</v>
      </c>
      <c r="K611" s="522"/>
      <c r="L611" s="154"/>
      <c r="N611" s="154"/>
      <c r="O611" s="154"/>
    </row>
    <row r="612" spans="1:15" s="138" customFormat="1" x14ac:dyDescent="0.25">
      <c r="A612" s="375" t="s">
        <v>61</v>
      </c>
      <c r="B612" s="191" t="s">
        <v>8</v>
      </c>
      <c r="C612" s="4" t="s">
        <v>30</v>
      </c>
      <c r="D612" s="156" t="s">
        <v>470</v>
      </c>
      <c r="E612" s="326">
        <v>610</v>
      </c>
      <c r="F612" s="159">
        <f>'ведом. 2025-2027'!AD672</f>
        <v>14589</v>
      </c>
      <c r="G612" s="306"/>
      <c r="H612" s="522">
        <f>'ведом. 2025-2027'!AE672</f>
        <v>0</v>
      </c>
      <c r="I612" s="522"/>
      <c r="J612" s="522">
        <f>'ведом. 2025-2027'!AF672</f>
        <v>0</v>
      </c>
      <c r="K612" s="522"/>
      <c r="L612" s="154"/>
      <c r="N612" s="154"/>
      <c r="O612" s="154"/>
    </row>
    <row r="613" spans="1:15" s="138" customFormat="1" ht="141.75" x14ac:dyDescent="0.25">
      <c r="A613" s="256" t="s">
        <v>400</v>
      </c>
      <c r="B613" s="191" t="s">
        <v>8</v>
      </c>
      <c r="C613" s="4" t="s">
        <v>30</v>
      </c>
      <c r="D613" s="26" t="s">
        <v>471</v>
      </c>
      <c r="E613" s="325"/>
      <c r="F613" s="159">
        <f t="shared" ref="F613:K614" si="160">F614</f>
        <v>479541</v>
      </c>
      <c r="G613" s="306">
        <f t="shared" si="160"/>
        <v>479541</v>
      </c>
      <c r="H613" s="522">
        <f t="shared" si="160"/>
        <v>479541</v>
      </c>
      <c r="I613" s="522">
        <f t="shared" si="160"/>
        <v>479541</v>
      </c>
      <c r="J613" s="522">
        <f t="shared" si="160"/>
        <v>479541</v>
      </c>
      <c r="K613" s="522">
        <f t="shared" si="160"/>
        <v>479541</v>
      </c>
      <c r="L613" s="154"/>
      <c r="N613" s="154"/>
      <c r="O613" s="154"/>
    </row>
    <row r="614" spans="1:15" s="138" customFormat="1" ht="31.5" x14ac:dyDescent="0.25">
      <c r="A614" s="375" t="s">
        <v>60</v>
      </c>
      <c r="B614" s="191" t="s">
        <v>8</v>
      </c>
      <c r="C614" s="4" t="s">
        <v>30</v>
      </c>
      <c r="D614" s="26" t="s">
        <v>471</v>
      </c>
      <c r="E614" s="326">
        <v>600</v>
      </c>
      <c r="F614" s="159">
        <f t="shared" si="160"/>
        <v>479541</v>
      </c>
      <c r="G614" s="306">
        <f t="shared" si="160"/>
        <v>479541</v>
      </c>
      <c r="H614" s="522">
        <f t="shared" si="160"/>
        <v>479541</v>
      </c>
      <c r="I614" s="522">
        <f t="shared" si="160"/>
        <v>479541</v>
      </c>
      <c r="J614" s="522">
        <f t="shared" si="160"/>
        <v>479541</v>
      </c>
      <c r="K614" s="522">
        <f t="shared" si="160"/>
        <v>479541</v>
      </c>
      <c r="L614" s="154"/>
      <c r="N614" s="154"/>
      <c r="O614" s="154"/>
    </row>
    <row r="615" spans="1:15" s="138" customFormat="1" x14ac:dyDescent="0.25">
      <c r="A615" s="375" t="s">
        <v>61</v>
      </c>
      <c r="B615" s="191" t="s">
        <v>8</v>
      </c>
      <c r="C615" s="4" t="s">
        <v>30</v>
      </c>
      <c r="D615" s="26" t="s">
        <v>471</v>
      </c>
      <c r="E615" s="326">
        <v>610</v>
      </c>
      <c r="F615" s="159">
        <f>'ведом. 2025-2027'!AD675</f>
        <v>479541</v>
      </c>
      <c r="G615" s="306">
        <f>F615</f>
        <v>479541</v>
      </c>
      <c r="H615" s="522">
        <f>'ведом. 2025-2027'!AE675</f>
        <v>479541</v>
      </c>
      <c r="I615" s="522">
        <f>H615</f>
        <v>479541</v>
      </c>
      <c r="J615" s="522">
        <f>'ведом. 2025-2027'!AF675</f>
        <v>479541</v>
      </c>
      <c r="K615" s="522">
        <f>J615</f>
        <v>479541</v>
      </c>
      <c r="L615" s="154"/>
      <c r="N615" s="154"/>
      <c r="O615" s="154"/>
    </row>
    <row r="616" spans="1:15" s="177" customFormat="1" ht="31.5" x14ac:dyDescent="0.25">
      <c r="A616" s="523" t="s">
        <v>773</v>
      </c>
      <c r="B616" s="1" t="s">
        <v>8</v>
      </c>
      <c r="C616" s="4" t="s">
        <v>30</v>
      </c>
      <c r="D616" s="291" t="s">
        <v>624</v>
      </c>
      <c r="E616" s="326"/>
      <c r="F616" s="159">
        <f>F617</f>
        <v>1708</v>
      </c>
      <c r="G616" s="159">
        <f t="shared" ref="G616:K617" si="161">G617</f>
        <v>1708</v>
      </c>
      <c r="H616" s="522">
        <f t="shared" si="161"/>
        <v>1708</v>
      </c>
      <c r="I616" s="522">
        <f t="shared" si="161"/>
        <v>1708</v>
      </c>
      <c r="J616" s="522">
        <f t="shared" si="161"/>
        <v>1708</v>
      </c>
      <c r="K616" s="522">
        <f t="shared" si="161"/>
        <v>1708</v>
      </c>
      <c r="L616" s="154"/>
      <c r="N616" s="154"/>
      <c r="O616" s="154"/>
    </row>
    <row r="617" spans="1:15" s="177" customFormat="1" ht="31.5" x14ac:dyDescent="0.25">
      <c r="A617" s="253" t="s">
        <v>60</v>
      </c>
      <c r="B617" s="1" t="s">
        <v>8</v>
      </c>
      <c r="C617" s="4" t="s">
        <v>30</v>
      </c>
      <c r="D617" s="291" t="s">
        <v>624</v>
      </c>
      <c r="E617" s="326">
        <v>600</v>
      </c>
      <c r="F617" s="159">
        <f>F618</f>
        <v>1708</v>
      </c>
      <c r="G617" s="159">
        <f t="shared" si="161"/>
        <v>1708</v>
      </c>
      <c r="H617" s="522">
        <f t="shared" si="161"/>
        <v>1708</v>
      </c>
      <c r="I617" s="522">
        <f t="shared" si="161"/>
        <v>1708</v>
      </c>
      <c r="J617" s="522">
        <f t="shared" si="161"/>
        <v>1708</v>
      </c>
      <c r="K617" s="522">
        <f t="shared" si="161"/>
        <v>1708</v>
      </c>
      <c r="L617" s="154"/>
      <c r="N617" s="154"/>
      <c r="O617" s="154"/>
    </row>
    <row r="618" spans="1:15" s="177" customFormat="1" x14ac:dyDescent="0.25">
      <c r="A618" s="253" t="s">
        <v>61</v>
      </c>
      <c r="B618" s="1" t="s">
        <v>8</v>
      </c>
      <c r="C618" s="4" t="s">
        <v>30</v>
      </c>
      <c r="D618" s="291" t="s">
        <v>624</v>
      </c>
      <c r="E618" s="326">
        <v>610</v>
      </c>
      <c r="F618" s="159">
        <f>'ведом. 2025-2027'!AD678</f>
        <v>1708</v>
      </c>
      <c r="G618" s="306">
        <f>F618</f>
        <v>1708</v>
      </c>
      <c r="H618" s="522">
        <f>'ведом. 2025-2027'!AE678</f>
        <v>1708</v>
      </c>
      <c r="I618" s="522">
        <f>H618</f>
        <v>1708</v>
      </c>
      <c r="J618" s="522">
        <f>'ведом. 2025-2027'!AF678</f>
        <v>1708</v>
      </c>
      <c r="K618" s="522">
        <f>J618</f>
        <v>1708</v>
      </c>
      <c r="L618" s="154"/>
      <c r="N618" s="154"/>
      <c r="O618" s="154"/>
    </row>
    <row r="619" spans="1:15" s="519" customFormat="1" ht="63" x14ac:dyDescent="0.25">
      <c r="A619" s="451" t="s">
        <v>656</v>
      </c>
      <c r="B619" s="453" t="s">
        <v>8</v>
      </c>
      <c r="C619" s="454" t="s">
        <v>30</v>
      </c>
      <c r="D619" s="455" t="s">
        <v>657</v>
      </c>
      <c r="E619" s="460"/>
      <c r="F619" s="522">
        <f>F620</f>
        <v>1910</v>
      </c>
      <c r="G619" s="522">
        <f t="shared" ref="G619:J620" si="162">G620</f>
        <v>1910</v>
      </c>
      <c r="H619" s="522">
        <f t="shared" si="162"/>
        <v>0</v>
      </c>
      <c r="I619" s="522"/>
      <c r="J619" s="522">
        <f t="shared" si="162"/>
        <v>0</v>
      </c>
      <c r="K619" s="522"/>
      <c r="L619" s="521"/>
      <c r="N619" s="521"/>
      <c r="O619" s="521"/>
    </row>
    <row r="620" spans="1:15" s="519" customFormat="1" ht="31.5" x14ac:dyDescent="0.25">
      <c r="A620" s="451" t="s">
        <v>60</v>
      </c>
      <c r="B620" s="453" t="s">
        <v>8</v>
      </c>
      <c r="C620" s="454" t="s">
        <v>30</v>
      </c>
      <c r="D620" s="455" t="s">
        <v>657</v>
      </c>
      <c r="E620" s="460">
        <v>600</v>
      </c>
      <c r="F620" s="522">
        <f>F621</f>
        <v>1910</v>
      </c>
      <c r="G620" s="522">
        <f t="shared" si="162"/>
        <v>1910</v>
      </c>
      <c r="H620" s="522">
        <f t="shared" si="162"/>
        <v>0</v>
      </c>
      <c r="I620" s="522"/>
      <c r="J620" s="522">
        <f t="shared" si="162"/>
        <v>0</v>
      </c>
      <c r="K620" s="522"/>
      <c r="L620" s="506"/>
      <c r="N620" s="521"/>
      <c r="O620" s="521"/>
    </row>
    <row r="621" spans="1:15" s="519" customFormat="1" x14ac:dyDescent="0.25">
      <c r="A621" s="451" t="s">
        <v>61</v>
      </c>
      <c r="B621" s="453" t="s">
        <v>8</v>
      </c>
      <c r="C621" s="454" t="s">
        <v>30</v>
      </c>
      <c r="D621" s="455" t="s">
        <v>657</v>
      </c>
      <c r="E621" s="460">
        <v>610</v>
      </c>
      <c r="F621" s="522">
        <f>'ведом. 2025-2027'!AD681</f>
        <v>1910</v>
      </c>
      <c r="G621" s="524">
        <f>F621</f>
        <v>1910</v>
      </c>
      <c r="H621" s="522">
        <f>'ведом. 2025-2027'!AE681</f>
        <v>0</v>
      </c>
      <c r="I621" s="522"/>
      <c r="J621" s="522">
        <f>'ведом. 2025-2027'!AF681</f>
        <v>0</v>
      </c>
      <c r="K621" s="522"/>
      <c r="L621" s="521"/>
      <c r="N621" s="521"/>
      <c r="O621" s="521"/>
    </row>
    <row r="622" spans="1:15" s="519" customFormat="1" ht="34.5" customHeight="1" x14ac:dyDescent="0.25">
      <c r="A622" s="451" t="s">
        <v>780</v>
      </c>
      <c r="B622" s="453" t="s">
        <v>8</v>
      </c>
      <c r="C622" s="454" t="s">
        <v>30</v>
      </c>
      <c r="D622" s="455" t="s">
        <v>662</v>
      </c>
      <c r="E622" s="460"/>
      <c r="F622" s="522">
        <f>F623</f>
        <v>27264</v>
      </c>
      <c r="G622" s="522">
        <f t="shared" ref="G622:K622" si="163">G623</f>
        <v>27264</v>
      </c>
      <c r="H622" s="522">
        <f t="shared" si="163"/>
        <v>27264</v>
      </c>
      <c r="I622" s="522">
        <f t="shared" si="163"/>
        <v>27264</v>
      </c>
      <c r="J622" s="522">
        <f t="shared" si="163"/>
        <v>27264</v>
      </c>
      <c r="K622" s="522">
        <f t="shared" si="163"/>
        <v>27264</v>
      </c>
      <c r="L622" s="521"/>
      <c r="N622" s="521"/>
      <c r="O622" s="521"/>
    </row>
    <row r="623" spans="1:15" s="519" customFormat="1" ht="31.5" x14ac:dyDescent="0.25">
      <c r="A623" s="451" t="s">
        <v>60</v>
      </c>
      <c r="B623" s="453" t="s">
        <v>8</v>
      </c>
      <c r="C623" s="454" t="s">
        <v>30</v>
      </c>
      <c r="D623" s="455" t="s">
        <v>662</v>
      </c>
      <c r="E623" s="460">
        <v>600</v>
      </c>
      <c r="F623" s="522">
        <f>F624</f>
        <v>27264</v>
      </c>
      <c r="G623" s="522">
        <f t="shared" ref="G623:K623" si="164">G624</f>
        <v>27264</v>
      </c>
      <c r="H623" s="522">
        <f t="shared" si="164"/>
        <v>27264</v>
      </c>
      <c r="I623" s="522">
        <f t="shared" si="164"/>
        <v>27264</v>
      </c>
      <c r="J623" s="522">
        <f t="shared" si="164"/>
        <v>27264</v>
      </c>
      <c r="K623" s="522">
        <f t="shared" si="164"/>
        <v>27264</v>
      </c>
      <c r="L623" s="521"/>
      <c r="N623" s="521"/>
      <c r="O623" s="521"/>
    </row>
    <row r="624" spans="1:15" s="519" customFormat="1" x14ac:dyDescent="0.25">
      <c r="A624" s="451" t="s">
        <v>61</v>
      </c>
      <c r="B624" s="453" t="s">
        <v>8</v>
      </c>
      <c r="C624" s="454" t="s">
        <v>30</v>
      </c>
      <c r="D624" s="455" t="s">
        <v>662</v>
      </c>
      <c r="E624" s="460">
        <v>610</v>
      </c>
      <c r="F624" s="522">
        <f>'ведом. 2025-2027'!AD684</f>
        <v>27264</v>
      </c>
      <c r="G624" s="524">
        <f>F624</f>
        <v>27264</v>
      </c>
      <c r="H624" s="522">
        <f>'ведом. 2025-2027'!AE684</f>
        <v>27264</v>
      </c>
      <c r="I624" s="522">
        <f>H624</f>
        <v>27264</v>
      </c>
      <c r="J624" s="522">
        <f>'ведом. 2025-2027'!AF684</f>
        <v>27264</v>
      </c>
      <c r="K624" s="522">
        <f>J624</f>
        <v>27264</v>
      </c>
      <c r="L624" s="521"/>
      <c r="N624" s="521"/>
      <c r="O624" s="521"/>
    </row>
    <row r="625" spans="1:15" s="138" customFormat="1" ht="47.25" x14ac:dyDescent="0.25">
      <c r="A625" s="255" t="s">
        <v>267</v>
      </c>
      <c r="B625" s="191" t="s">
        <v>8</v>
      </c>
      <c r="C625" s="4" t="s">
        <v>30</v>
      </c>
      <c r="D625" s="156" t="s">
        <v>126</v>
      </c>
      <c r="E625" s="326"/>
      <c r="F625" s="159">
        <f>F626+F629+F632</f>
        <v>46662.299999999996</v>
      </c>
      <c r="G625" s="522">
        <f>G626+G629+G632</f>
        <v>41997.9</v>
      </c>
      <c r="H625" s="522">
        <f t="shared" ref="H625:K625" si="165">H626+H629+H632</f>
        <v>51469</v>
      </c>
      <c r="I625" s="522">
        <f t="shared" si="165"/>
        <v>46323.899999999994</v>
      </c>
      <c r="J625" s="522">
        <f t="shared" si="165"/>
        <v>38704.6</v>
      </c>
      <c r="K625" s="522">
        <f t="shared" si="165"/>
        <v>34835.9</v>
      </c>
      <c r="L625" s="154"/>
      <c r="N625" s="154"/>
      <c r="O625" s="154"/>
    </row>
    <row r="626" spans="1:15" s="138" customFormat="1" ht="31.5" x14ac:dyDescent="0.25">
      <c r="A626" s="375" t="s">
        <v>510</v>
      </c>
      <c r="B626" s="191" t="s">
        <v>8</v>
      </c>
      <c r="C626" s="4" t="s">
        <v>30</v>
      </c>
      <c r="D626" s="156" t="s">
        <v>472</v>
      </c>
      <c r="E626" s="326"/>
      <c r="F626" s="159">
        <f t="shared" ref="F626:K627" si="166">F627</f>
        <v>18</v>
      </c>
      <c r="G626" s="306">
        <f t="shared" si="166"/>
        <v>18</v>
      </c>
      <c r="H626" s="522">
        <f t="shared" si="166"/>
        <v>18</v>
      </c>
      <c r="I626" s="522">
        <f t="shared" si="166"/>
        <v>18</v>
      </c>
      <c r="J626" s="522">
        <f t="shared" si="166"/>
        <v>18</v>
      </c>
      <c r="K626" s="522">
        <f t="shared" si="166"/>
        <v>18</v>
      </c>
      <c r="L626" s="154"/>
      <c r="N626" s="154"/>
      <c r="O626" s="154"/>
    </row>
    <row r="627" spans="1:15" s="138" customFormat="1" ht="31.5" x14ac:dyDescent="0.25">
      <c r="A627" s="375" t="s">
        <v>60</v>
      </c>
      <c r="B627" s="191" t="s">
        <v>8</v>
      </c>
      <c r="C627" s="4" t="s">
        <v>30</v>
      </c>
      <c r="D627" s="156" t="s">
        <v>472</v>
      </c>
      <c r="E627" s="325">
        <v>600</v>
      </c>
      <c r="F627" s="159">
        <f t="shared" si="166"/>
        <v>18</v>
      </c>
      <c r="G627" s="306">
        <f t="shared" si="166"/>
        <v>18</v>
      </c>
      <c r="H627" s="522">
        <f t="shared" si="166"/>
        <v>18</v>
      </c>
      <c r="I627" s="522">
        <f t="shared" si="166"/>
        <v>18</v>
      </c>
      <c r="J627" s="522">
        <f t="shared" si="166"/>
        <v>18</v>
      </c>
      <c r="K627" s="522">
        <f t="shared" si="166"/>
        <v>18</v>
      </c>
      <c r="L627" s="154"/>
      <c r="N627" s="154"/>
      <c r="O627" s="154"/>
    </row>
    <row r="628" spans="1:15" s="138" customFormat="1" x14ac:dyDescent="0.25">
      <c r="A628" s="375" t="s">
        <v>61</v>
      </c>
      <c r="B628" s="191" t="s">
        <v>8</v>
      </c>
      <c r="C628" s="4" t="s">
        <v>30</v>
      </c>
      <c r="D628" s="156" t="s">
        <v>472</v>
      </c>
      <c r="E628" s="325">
        <v>610</v>
      </c>
      <c r="F628" s="159">
        <f>'ведом. 2025-2027'!AD688</f>
        <v>18</v>
      </c>
      <c r="G628" s="306">
        <f>F628</f>
        <v>18</v>
      </c>
      <c r="H628" s="522">
        <f>'ведом. 2025-2027'!AE688</f>
        <v>18</v>
      </c>
      <c r="I628" s="522">
        <f>H628</f>
        <v>18</v>
      </c>
      <c r="J628" s="522">
        <f>'ведом. 2025-2027'!AF688</f>
        <v>18</v>
      </c>
      <c r="K628" s="522">
        <f>J628</f>
        <v>18</v>
      </c>
      <c r="L628" s="154"/>
      <c r="N628" s="154"/>
      <c r="O628" s="154"/>
    </row>
    <row r="629" spans="1:15" s="177" customFormat="1" ht="63" x14ac:dyDescent="0.25">
      <c r="A629" s="479" t="s">
        <v>750</v>
      </c>
      <c r="B629" s="191" t="s">
        <v>8</v>
      </c>
      <c r="C629" s="4" t="s">
        <v>30</v>
      </c>
      <c r="D629" s="26" t="s">
        <v>749</v>
      </c>
      <c r="E629" s="326"/>
      <c r="F629" s="159">
        <f t="shared" ref="F629:J630" si="167">F630</f>
        <v>39953.799999999996</v>
      </c>
      <c r="G629" s="306">
        <f t="shared" si="167"/>
        <v>35958.400000000001</v>
      </c>
      <c r="H629" s="522">
        <f t="shared" si="167"/>
        <v>39547.4</v>
      </c>
      <c r="I629" s="522">
        <f t="shared" si="167"/>
        <v>35592.699999999997</v>
      </c>
      <c r="J629" s="522">
        <f t="shared" si="167"/>
        <v>38686.6</v>
      </c>
      <c r="K629" s="522">
        <f>K630</f>
        <v>34817.9</v>
      </c>
      <c r="L629" s="154"/>
      <c r="N629" s="154"/>
      <c r="O629" s="154"/>
    </row>
    <row r="630" spans="1:15" s="177" customFormat="1" x14ac:dyDescent="0.25">
      <c r="A630" s="273" t="s">
        <v>120</v>
      </c>
      <c r="B630" s="191" t="s">
        <v>8</v>
      </c>
      <c r="C630" s="4" t="s">
        <v>30</v>
      </c>
      <c r="D630" s="26" t="s">
        <v>749</v>
      </c>
      <c r="E630" s="326">
        <v>200</v>
      </c>
      <c r="F630" s="159">
        <f t="shared" si="167"/>
        <v>39953.799999999996</v>
      </c>
      <c r="G630" s="306">
        <f t="shared" si="167"/>
        <v>35958.400000000001</v>
      </c>
      <c r="H630" s="522">
        <f t="shared" si="167"/>
        <v>39547.4</v>
      </c>
      <c r="I630" s="522">
        <f t="shared" si="167"/>
        <v>35592.699999999997</v>
      </c>
      <c r="J630" s="522">
        <f t="shared" si="167"/>
        <v>38686.6</v>
      </c>
      <c r="K630" s="522">
        <f>K631</f>
        <v>34817.9</v>
      </c>
      <c r="L630" s="154"/>
      <c r="N630" s="154"/>
      <c r="O630" s="154"/>
    </row>
    <row r="631" spans="1:15" s="177" customFormat="1" ht="31.5" x14ac:dyDescent="0.25">
      <c r="A631" s="273" t="s">
        <v>52</v>
      </c>
      <c r="B631" s="191" t="s">
        <v>8</v>
      </c>
      <c r="C631" s="4" t="s">
        <v>30</v>
      </c>
      <c r="D631" s="26" t="s">
        <v>749</v>
      </c>
      <c r="E631" s="326">
        <v>240</v>
      </c>
      <c r="F631" s="159">
        <f>'ведом. 2025-2027'!AD691</f>
        <v>39953.799999999996</v>
      </c>
      <c r="G631" s="306">
        <v>35958.400000000001</v>
      </c>
      <c r="H631" s="522">
        <f>'ведом. 2025-2027'!AE691</f>
        <v>39547.4</v>
      </c>
      <c r="I631" s="522">
        <v>35592.699999999997</v>
      </c>
      <c r="J631" s="522">
        <f>'ведом. 2025-2027'!AF691</f>
        <v>38686.6</v>
      </c>
      <c r="K631" s="522">
        <v>34817.9</v>
      </c>
      <c r="L631" s="154"/>
      <c r="M631" s="521"/>
      <c r="N631" s="154"/>
      <c r="O631" s="154"/>
    </row>
    <row r="632" spans="1:15" s="519" customFormat="1" ht="31.5" x14ac:dyDescent="0.25">
      <c r="A632" s="451" t="s">
        <v>837</v>
      </c>
      <c r="B632" s="453" t="s">
        <v>8</v>
      </c>
      <c r="C632" s="453" t="s">
        <v>30</v>
      </c>
      <c r="D632" s="541" t="s">
        <v>838</v>
      </c>
      <c r="E632" s="454"/>
      <c r="F632" s="522">
        <f>F633</f>
        <v>6690.5</v>
      </c>
      <c r="G632" s="522">
        <f t="shared" ref="G632:J633" si="168">G633</f>
        <v>6021.5</v>
      </c>
      <c r="H632" s="522">
        <f t="shared" si="168"/>
        <v>11903.6</v>
      </c>
      <c r="I632" s="522">
        <f t="shared" si="168"/>
        <v>10713.2</v>
      </c>
      <c r="J632" s="522">
        <f t="shared" si="168"/>
        <v>0</v>
      </c>
      <c r="K632" s="522"/>
      <c r="L632" s="521"/>
      <c r="M632" s="521"/>
      <c r="N632" s="521"/>
      <c r="O632" s="521"/>
    </row>
    <row r="633" spans="1:15" s="519" customFormat="1" x14ac:dyDescent="0.25">
      <c r="A633" s="451" t="s">
        <v>120</v>
      </c>
      <c r="B633" s="453" t="s">
        <v>8</v>
      </c>
      <c r="C633" s="453" t="s">
        <v>30</v>
      </c>
      <c r="D633" s="541" t="s">
        <v>838</v>
      </c>
      <c r="E633" s="454">
        <v>200</v>
      </c>
      <c r="F633" s="522">
        <f>F634</f>
        <v>6690.5</v>
      </c>
      <c r="G633" s="522">
        <f t="shared" si="168"/>
        <v>6021.5</v>
      </c>
      <c r="H633" s="522">
        <f t="shared" si="168"/>
        <v>11903.6</v>
      </c>
      <c r="I633" s="522">
        <f t="shared" si="168"/>
        <v>10713.2</v>
      </c>
      <c r="J633" s="522">
        <f t="shared" si="168"/>
        <v>0</v>
      </c>
      <c r="K633" s="522"/>
      <c r="L633" s="521"/>
      <c r="M633" s="521"/>
      <c r="N633" s="521"/>
      <c r="O633" s="521"/>
    </row>
    <row r="634" spans="1:15" s="519" customFormat="1" ht="31.5" x14ac:dyDescent="0.25">
      <c r="A634" s="451" t="s">
        <v>52</v>
      </c>
      <c r="B634" s="453" t="s">
        <v>8</v>
      </c>
      <c r="C634" s="453" t="s">
        <v>30</v>
      </c>
      <c r="D634" s="541" t="s">
        <v>838</v>
      </c>
      <c r="E634" s="454">
        <v>240</v>
      </c>
      <c r="F634" s="522">
        <f>'ведом. 2025-2027'!AD694</f>
        <v>6690.5</v>
      </c>
      <c r="G634" s="524">
        <v>6021.5</v>
      </c>
      <c r="H634" s="522">
        <f>'ведом. 2025-2027'!AE694</f>
        <v>11903.6</v>
      </c>
      <c r="I634" s="522">
        <v>10713.2</v>
      </c>
      <c r="J634" s="522">
        <f>'ведом. 2025-2027'!AF694</f>
        <v>0</v>
      </c>
      <c r="K634" s="522"/>
      <c r="L634" s="521"/>
      <c r="M634" s="521"/>
      <c r="N634" s="521"/>
      <c r="O634" s="521"/>
    </row>
    <row r="635" spans="1:15" s="519" customFormat="1" x14ac:dyDescent="0.25">
      <c r="A635" s="451" t="s">
        <v>842</v>
      </c>
      <c r="B635" s="453" t="s">
        <v>8</v>
      </c>
      <c r="C635" s="453" t="s">
        <v>30</v>
      </c>
      <c r="D635" s="542" t="s">
        <v>844</v>
      </c>
      <c r="E635" s="454"/>
      <c r="F635" s="522">
        <f>F636</f>
        <v>4673.3</v>
      </c>
      <c r="G635" s="522"/>
      <c r="H635" s="522">
        <f t="shared" ref="H635:J637" si="169">H636</f>
        <v>0</v>
      </c>
      <c r="I635" s="522"/>
      <c r="J635" s="522">
        <f t="shared" si="169"/>
        <v>0</v>
      </c>
      <c r="K635" s="522"/>
      <c r="L635" s="521"/>
      <c r="M635" s="521"/>
      <c r="N635" s="521"/>
      <c r="O635" s="521"/>
    </row>
    <row r="636" spans="1:15" s="519" customFormat="1" x14ac:dyDescent="0.25">
      <c r="A636" s="451" t="s">
        <v>843</v>
      </c>
      <c r="B636" s="453" t="s">
        <v>8</v>
      </c>
      <c r="C636" s="453" t="s">
        <v>30</v>
      </c>
      <c r="D636" s="542" t="s">
        <v>845</v>
      </c>
      <c r="E636" s="454"/>
      <c r="F636" s="522">
        <f>F637</f>
        <v>4673.3</v>
      </c>
      <c r="G636" s="522"/>
      <c r="H636" s="522">
        <f t="shared" si="169"/>
        <v>0</v>
      </c>
      <c r="I636" s="522"/>
      <c r="J636" s="522">
        <f t="shared" si="169"/>
        <v>0</v>
      </c>
      <c r="K636" s="522"/>
      <c r="L636" s="521"/>
      <c r="M636" s="521"/>
      <c r="N636" s="521"/>
      <c r="O636" s="521"/>
    </row>
    <row r="637" spans="1:15" s="519" customFormat="1" ht="31.5" x14ac:dyDescent="0.25">
      <c r="A637" s="451" t="s">
        <v>60</v>
      </c>
      <c r="B637" s="453" t="s">
        <v>8</v>
      </c>
      <c r="C637" s="453" t="s">
        <v>30</v>
      </c>
      <c r="D637" s="542" t="s">
        <v>845</v>
      </c>
      <c r="E637" s="482">
        <v>600</v>
      </c>
      <c r="F637" s="522">
        <f>F638</f>
        <v>4673.3</v>
      </c>
      <c r="G637" s="522"/>
      <c r="H637" s="522">
        <f t="shared" si="169"/>
        <v>0</v>
      </c>
      <c r="I637" s="522"/>
      <c r="J637" s="522">
        <f t="shared" si="169"/>
        <v>0</v>
      </c>
      <c r="K637" s="522"/>
      <c r="L637" s="521"/>
      <c r="M637" s="521"/>
      <c r="N637" s="521"/>
      <c r="O637" s="521"/>
    </row>
    <row r="638" spans="1:15" s="519" customFormat="1" x14ac:dyDescent="0.25">
      <c r="A638" s="451" t="s">
        <v>61</v>
      </c>
      <c r="B638" s="453" t="s">
        <v>8</v>
      </c>
      <c r="C638" s="453" t="s">
        <v>30</v>
      </c>
      <c r="D638" s="542" t="s">
        <v>845</v>
      </c>
      <c r="E638" s="482">
        <v>610</v>
      </c>
      <c r="F638" s="522">
        <f>'ведом. 2025-2027'!AD698</f>
        <v>4673.3</v>
      </c>
      <c r="G638" s="524"/>
      <c r="H638" s="522">
        <f>'ведом. 2025-2027'!AE698</f>
        <v>0</v>
      </c>
      <c r="I638" s="522"/>
      <c r="J638" s="522">
        <f>'ведом. 2025-2027'!AF698</f>
        <v>0</v>
      </c>
      <c r="K638" s="522"/>
      <c r="L638" s="521"/>
      <c r="M638" s="521"/>
      <c r="N638" s="521"/>
      <c r="O638" s="521"/>
    </row>
    <row r="639" spans="1:15" s="138" customFormat="1" ht="47.25" x14ac:dyDescent="0.25">
      <c r="A639" s="255" t="s">
        <v>312</v>
      </c>
      <c r="B639" s="191" t="s">
        <v>8</v>
      </c>
      <c r="C639" s="4" t="s">
        <v>30</v>
      </c>
      <c r="D639" s="156" t="s">
        <v>473</v>
      </c>
      <c r="E639" s="325"/>
      <c r="F639" s="159">
        <f t="shared" ref="F639:K639" si="170">F640+F643</f>
        <v>5237.8999999999996</v>
      </c>
      <c r="G639" s="159">
        <f t="shared" si="170"/>
        <v>3372</v>
      </c>
      <c r="H639" s="522">
        <f t="shared" si="170"/>
        <v>5237.8999999999996</v>
      </c>
      <c r="I639" s="522">
        <f t="shared" si="170"/>
        <v>3372</v>
      </c>
      <c r="J639" s="522">
        <f t="shared" si="170"/>
        <v>5237.8999999999996</v>
      </c>
      <c r="K639" s="522">
        <f t="shared" si="170"/>
        <v>3372</v>
      </c>
      <c r="L639" s="154"/>
      <c r="N639" s="154"/>
      <c r="O639" s="154"/>
    </row>
    <row r="640" spans="1:15" s="138" customFormat="1" ht="47.25" x14ac:dyDescent="0.25">
      <c r="A640" s="255" t="s">
        <v>432</v>
      </c>
      <c r="B640" s="191" t="s">
        <v>8</v>
      </c>
      <c r="C640" s="4" t="s">
        <v>30</v>
      </c>
      <c r="D640" s="156" t="s">
        <v>474</v>
      </c>
      <c r="E640" s="325"/>
      <c r="F640" s="159">
        <f>F641</f>
        <v>1865.9</v>
      </c>
      <c r="G640" s="306"/>
      <c r="H640" s="522">
        <f>H641</f>
        <v>1865.9</v>
      </c>
      <c r="I640" s="522"/>
      <c r="J640" s="522">
        <f>J641</f>
        <v>1865.9</v>
      </c>
      <c r="K640" s="522"/>
      <c r="L640" s="154"/>
      <c r="N640" s="154"/>
      <c r="O640" s="154"/>
    </row>
    <row r="641" spans="1:15" s="138" customFormat="1" ht="31.5" x14ac:dyDescent="0.25">
      <c r="A641" s="375" t="s">
        <v>60</v>
      </c>
      <c r="B641" s="191" t="s">
        <v>8</v>
      </c>
      <c r="C641" s="4" t="s">
        <v>30</v>
      </c>
      <c r="D641" s="156" t="s">
        <v>474</v>
      </c>
      <c r="E641" s="325">
        <v>600</v>
      </c>
      <c r="F641" s="159">
        <f>F642</f>
        <v>1865.9</v>
      </c>
      <c r="G641" s="306"/>
      <c r="H641" s="522">
        <f>H642</f>
        <v>1865.9</v>
      </c>
      <c r="I641" s="522"/>
      <c r="J641" s="522">
        <f>J642</f>
        <v>1865.9</v>
      </c>
      <c r="K641" s="522"/>
      <c r="L641" s="154"/>
      <c r="N641" s="154"/>
      <c r="O641" s="154"/>
    </row>
    <row r="642" spans="1:15" s="138" customFormat="1" x14ac:dyDescent="0.25">
      <c r="A642" s="375" t="s">
        <v>61</v>
      </c>
      <c r="B642" s="191" t="s">
        <v>8</v>
      </c>
      <c r="C642" s="4" t="s">
        <v>30</v>
      </c>
      <c r="D642" s="156" t="s">
        <v>474</v>
      </c>
      <c r="E642" s="325">
        <v>610</v>
      </c>
      <c r="F642" s="159">
        <f>'ведом. 2025-2027'!AD702</f>
        <v>1865.9</v>
      </c>
      <c r="G642" s="306"/>
      <c r="H642" s="522">
        <f>'ведом. 2025-2027'!AE702</f>
        <v>1865.9</v>
      </c>
      <c r="I642" s="522"/>
      <c r="J642" s="522">
        <f>'ведом. 2025-2027'!AF702</f>
        <v>1865.9</v>
      </c>
      <c r="K642" s="522"/>
      <c r="L642" s="154"/>
      <c r="N642" s="154"/>
      <c r="O642" s="154"/>
    </row>
    <row r="643" spans="1:15" s="177" customFormat="1" ht="63" x14ac:dyDescent="0.25">
      <c r="A643" s="253" t="s">
        <v>625</v>
      </c>
      <c r="B643" s="1" t="s">
        <v>8</v>
      </c>
      <c r="C643" s="4" t="s">
        <v>30</v>
      </c>
      <c r="D643" s="291" t="s">
        <v>623</v>
      </c>
      <c r="E643" s="430"/>
      <c r="F643" s="159">
        <f>F644</f>
        <v>3372</v>
      </c>
      <c r="G643" s="159">
        <f t="shared" ref="G643:K644" si="171">G644</f>
        <v>3372</v>
      </c>
      <c r="H643" s="522">
        <f t="shared" si="171"/>
        <v>3372</v>
      </c>
      <c r="I643" s="522">
        <f t="shared" si="171"/>
        <v>3372</v>
      </c>
      <c r="J643" s="522">
        <f t="shared" si="171"/>
        <v>3372</v>
      </c>
      <c r="K643" s="522">
        <f t="shared" si="171"/>
        <v>3372</v>
      </c>
      <c r="L643" s="154"/>
      <c r="N643" s="154"/>
      <c r="O643" s="154"/>
    </row>
    <row r="644" spans="1:15" s="177" customFormat="1" ht="31.5" x14ac:dyDescent="0.25">
      <c r="A644" s="253" t="s">
        <v>60</v>
      </c>
      <c r="B644" s="1" t="s">
        <v>8</v>
      </c>
      <c r="C644" s="4" t="s">
        <v>30</v>
      </c>
      <c r="D644" s="291" t="s">
        <v>623</v>
      </c>
      <c r="E644" s="407">
        <v>600</v>
      </c>
      <c r="F644" s="159">
        <f>F645</f>
        <v>3372</v>
      </c>
      <c r="G644" s="159">
        <f t="shared" si="171"/>
        <v>3372</v>
      </c>
      <c r="H644" s="522">
        <f t="shared" si="171"/>
        <v>3372</v>
      </c>
      <c r="I644" s="522">
        <f t="shared" si="171"/>
        <v>3372</v>
      </c>
      <c r="J644" s="522">
        <f t="shared" si="171"/>
        <v>3372</v>
      </c>
      <c r="K644" s="522">
        <f t="shared" si="171"/>
        <v>3372</v>
      </c>
      <c r="L644" s="154"/>
      <c r="N644" s="154"/>
      <c r="O644" s="154"/>
    </row>
    <row r="645" spans="1:15" s="177" customFormat="1" x14ac:dyDescent="0.25">
      <c r="A645" s="253" t="s">
        <v>61</v>
      </c>
      <c r="B645" s="1" t="s">
        <v>8</v>
      </c>
      <c r="C645" s="4" t="s">
        <v>30</v>
      </c>
      <c r="D645" s="291" t="s">
        <v>623</v>
      </c>
      <c r="E645" s="407">
        <v>610</v>
      </c>
      <c r="F645" s="159">
        <f>'ведом. 2025-2027'!AD705</f>
        <v>3372</v>
      </c>
      <c r="G645" s="306">
        <f>F645</f>
        <v>3372</v>
      </c>
      <c r="H645" s="522">
        <f>'ведом. 2025-2027'!AE705</f>
        <v>3372</v>
      </c>
      <c r="I645" s="522">
        <f>H645</f>
        <v>3372</v>
      </c>
      <c r="J645" s="522">
        <f>'ведом. 2025-2027'!AF705</f>
        <v>3372</v>
      </c>
      <c r="K645" s="522">
        <f>J645</f>
        <v>3372</v>
      </c>
      <c r="L645" s="154"/>
      <c r="N645" s="154"/>
      <c r="O645" s="154"/>
    </row>
    <row r="646" spans="1:15" s="519" customFormat="1" x14ac:dyDescent="0.25">
      <c r="A646" s="523" t="s">
        <v>743</v>
      </c>
      <c r="B646" s="515" t="s">
        <v>8</v>
      </c>
      <c r="C646" s="516" t="s">
        <v>30</v>
      </c>
      <c r="D646" s="291" t="s">
        <v>744</v>
      </c>
      <c r="E646" s="407"/>
      <c r="F646" s="522">
        <f>F647</f>
        <v>2483.4</v>
      </c>
      <c r="G646" s="522">
        <f t="shared" ref="G646:J646" si="172">G647</f>
        <v>1970.9</v>
      </c>
      <c r="H646" s="522">
        <f t="shared" si="172"/>
        <v>0</v>
      </c>
      <c r="I646" s="522"/>
      <c r="J646" s="522">
        <f t="shared" si="172"/>
        <v>0</v>
      </c>
      <c r="K646" s="522"/>
      <c r="L646" s="521"/>
      <c r="N646" s="521"/>
      <c r="O646" s="521"/>
    </row>
    <row r="647" spans="1:15" s="519" customFormat="1" ht="30" customHeight="1" x14ac:dyDescent="0.25">
      <c r="A647" s="523" t="s">
        <v>745</v>
      </c>
      <c r="B647" s="515" t="s">
        <v>8</v>
      </c>
      <c r="C647" s="516" t="s">
        <v>30</v>
      </c>
      <c r="D647" s="291" t="s">
        <v>746</v>
      </c>
      <c r="E647" s="407"/>
      <c r="F647" s="522">
        <f>F648</f>
        <v>2483.4</v>
      </c>
      <c r="G647" s="522">
        <f t="shared" ref="G647:J647" si="173">G648</f>
        <v>1970.9</v>
      </c>
      <c r="H647" s="522">
        <f t="shared" si="173"/>
        <v>0</v>
      </c>
      <c r="I647" s="522"/>
      <c r="J647" s="522">
        <f t="shared" si="173"/>
        <v>0</v>
      </c>
      <c r="K647" s="522"/>
      <c r="L647" s="521"/>
      <c r="N647" s="521"/>
      <c r="O647" s="521"/>
    </row>
    <row r="648" spans="1:15" s="519" customFormat="1" x14ac:dyDescent="0.25">
      <c r="A648" s="273" t="s">
        <v>120</v>
      </c>
      <c r="B648" s="515" t="s">
        <v>8</v>
      </c>
      <c r="C648" s="516" t="s">
        <v>30</v>
      </c>
      <c r="D648" s="291" t="s">
        <v>746</v>
      </c>
      <c r="E648" s="407">
        <v>200</v>
      </c>
      <c r="F648" s="522">
        <f>F649</f>
        <v>2483.4</v>
      </c>
      <c r="G648" s="522">
        <f t="shared" ref="G648:J648" si="174">G649</f>
        <v>1970.9</v>
      </c>
      <c r="H648" s="522">
        <f t="shared" si="174"/>
        <v>0</v>
      </c>
      <c r="I648" s="522"/>
      <c r="J648" s="522">
        <f t="shared" si="174"/>
        <v>0</v>
      </c>
      <c r="K648" s="522"/>
      <c r="L648" s="521"/>
      <c r="N648" s="521"/>
      <c r="O648" s="521"/>
    </row>
    <row r="649" spans="1:15" s="519" customFormat="1" ht="31.5" x14ac:dyDescent="0.25">
      <c r="A649" s="273" t="s">
        <v>52</v>
      </c>
      <c r="B649" s="515" t="s">
        <v>8</v>
      </c>
      <c r="C649" s="516" t="s">
        <v>30</v>
      </c>
      <c r="D649" s="291" t="s">
        <v>746</v>
      </c>
      <c r="E649" s="407">
        <v>240</v>
      </c>
      <c r="F649" s="522">
        <f>'ведом. 2025-2027'!AD709</f>
        <v>2483.4</v>
      </c>
      <c r="G649" s="524">
        <v>1970.9</v>
      </c>
      <c r="H649" s="522">
        <f>'ведом. 2025-2027'!AE709</f>
        <v>0</v>
      </c>
      <c r="I649" s="522"/>
      <c r="J649" s="522">
        <f>'ведом. 2025-2027'!AF709</f>
        <v>0</v>
      </c>
      <c r="K649" s="522"/>
      <c r="L649" s="521"/>
      <c r="N649" s="521"/>
      <c r="O649" s="521"/>
    </row>
    <row r="650" spans="1:15" s="519" customFormat="1" x14ac:dyDescent="0.25">
      <c r="A650" s="523" t="s">
        <v>658</v>
      </c>
      <c r="B650" s="515" t="s">
        <v>8</v>
      </c>
      <c r="C650" s="516" t="s">
        <v>30</v>
      </c>
      <c r="D650" s="291" t="s">
        <v>659</v>
      </c>
      <c r="E650" s="407"/>
      <c r="F650" s="522">
        <f>F654+F657+F651</f>
        <v>40116.5</v>
      </c>
      <c r="G650" s="522">
        <f t="shared" ref="G650:K650" si="175">G654+G657+G651</f>
        <v>40116.5</v>
      </c>
      <c r="H650" s="522">
        <f t="shared" si="175"/>
        <v>40141.5</v>
      </c>
      <c r="I650" s="522">
        <f t="shared" si="175"/>
        <v>40141.5</v>
      </c>
      <c r="J650" s="522">
        <f t="shared" si="175"/>
        <v>40172.5</v>
      </c>
      <c r="K650" s="522">
        <f t="shared" si="175"/>
        <v>40172.5</v>
      </c>
      <c r="L650" s="521"/>
      <c r="N650" s="521"/>
      <c r="O650" s="521"/>
    </row>
    <row r="651" spans="1:15" s="519" customFormat="1" ht="94.5" x14ac:dyDescent="0.25">
      <c r="A651" s="514" t="s">
        <v>747</v>
      </c>
      <c r="B651" s="515" t="s">
        <v>8</v>
      </c>
      <c r="C651" s="515" t="s">
        <v>30</v>
      </c>
      <c r="D651" s="409" t="s">
        <v>748</v>
      </c>
      <c r="E651" s="575"/>
      <c r="F651" s="522">
        <f>F652</f>
        <v>312.5</v>
      </c>
      <c r="G651" s="522">
        <f t="shared" ref="G651:K651" si="176">G652</f>
        <v>312.5</v>
      </c>
      <c r="H651" s="522">
        <f t="shared" si="176"/>
        <v>312.5</v>
      </c>
      <c r="I651" s="522">
        <f t="shared" si="176"/>
        <v>312.5</v>
      </c>
      <c r="J651" s="522">
        <f t="shared" si="176"/>
        <v>312.5</v>
      </c>
      <c r="K651" s="522">
        <f t="shared" si="176"/>
        <v>312.5</v>
      </c>
      <c r="L651" s="521"/>
      <c r="N651" s="521"/>
      <c r="O651" s="521"/>
    </row>
    <row r="652" spans="1:15" s="519" customFormat="1" ht="31.5" x14ac:dyDescent="0.25">
      <c r="A652" s="523" t="s">
        <v>60</v>
      </c>
      <c r="B652" s="515" t="s">
        <v>8</v>
      </c>
      <c r="C652" s="515" t="s">
        <v>30</v>
      </c>
      <c r="D652" s="409" t="s">
        <v>748</v>
      </c>
      <c r="E652" s="407">
        <v>600</v>
      </c>
      <c r="F652" s="522">
        <f>F653</f>
        <v>312.5</v>
      </c>
      <c r="G652" s="522">
        <f t="shared" ref="G652:K652" si="177">G653</f>
        <v>312.5</v>
      </c>
      <c r="H652" s="522">
        <f t="shared" si="177"/>
        <v>312.5</v>
      </c>
      <c r="I652" s="522">
        <f t="shared" si="177"/>
        <v>312.5</v>
      </c>
      <c r="J652" s="522">
        <f t="shared" si="177"/>
        <v>312.5</v>
      </c>
      <c r="K652" s="522">
        <f t="shared" si="177"/>
        <v>312.5</v>
      </c>
      <c r="L652" s="521"/>
      <c r="N652" s="521"/>
      <c r="O652" s="521"/>
    </row>
    <row r="653" spans="1:15" s="519" customFormat="1" x14ac:dyDescent="0.25">
      <c r="A653" s="523" t="s">
        <v>61</v>
      </c>
      <c r="B653" s="515" t="s">
        <v>8</v>
      </c>
      <c r="C653" s="515" t="s">
        <v>30</v>
      </c>
      <c r="D653" s="409" t="s">
        <v>748</v>
      </c>
      <c r="E653" s="407">
        <v>610</v>
      </c>
      <c r="F653" s="522">
        <f>'ведом. 2025-2027'!AD713</f>
        <v>312.5</v>
      </c>
      <c r="G653" s="522">
        <f>F653</f>
        <v>312.5</v>
      </c>
      <c r="H653" s="522">
        <f>'ведом. 2025-2027'!AE713</f>
        <v>312.5</v>
      </c>
      <c r="I653" s="522">
        <f>H653</f>
        <v>312.5</v>
      </c>
      <c r="J653" s="522">
        <f>'ведом. 2025-2027'!AF713</f>
        <v>312.5</v>
      </c>
      <c r="K653" s="522">
        <f>J653</f>
        <v>312.5</v>
      </c>
      <c r="L653" s="521"/>
      <c r="N653" s="521"/>
      <c r="O653" s="521"/>
    </row>
    <row r="654" spans="1:15" s="519" customFormat="1" ht="47.25" x14ac:dyDescent="0.25">
      <c r="A654" s="523" t="s">
        <v>663</v>
      </c>
      <c r="B654" s="515" t="s">
        <v>8</v>
      </c>
      <c r="C654" s="516" t="s">
        <v>30</v>
      </c>
      <c r="D654" s="291" t="s">
        <v>664</v>
      </c>
      <c r="E654" s="407"/>
      <c r="F654" s="522">
        <f>F655</f>
        <v>1681</v>
      </c>
      <c r="G654" s="522">
        <f t="shared" ref="G654:K655" si="178">G655</f>
        <v>1681</v>
      </c>
      <c r="H654" s="522">
        <f t="shared" si="178"/>
        <v>1706</v>
      </c>
      <c r="I654" s="522">
        <f t="shared" si="178"/>
        <v>1706</v>
      </c>
      <c r="J654" s="522">
        <f t="shared" si="178"/>
        <v>1737</v>
      </c>
      <c r="K654" s="522">
        <f t="shared" si="178"/>
        <v>1737</v>
      </c>
      <c r="L654" s="521"/>
      <c r="N654" s="521"/>
      <c r="O654" s="521"/>
    </row>
    <row r="655" spans="1:15" s="519" customFormat="1" ht="31.5" x14ac:dyDescent="0.25">
      <c r="A655" s="451" t="s">
        <v>60</v>
      </c>
      <c r="B655" s="515" t="s">
        <v>8</v>
      </c>
      <c r="C655" s="516" t="s">
        <v>30</v>
      </c>
      <c r="D655" s="291" t="s">
        <v>664</v>
      </c>
      <c r="E655" s="407">
        <v>600</v>
      </c>
      <c r="F655" s="522">
        <f>F656</f>
        <v>1681</v>
      </c>
      <c r="G655" s="522">
        <f t="shared" si="178"/>
        <v>1681</v>
      </c>
      <c r="H655" s="522">
        <f t="shared" si="178"/>
        <v>1706</v>
      </c>
      <c r="I655" s="522">
        <f t="shared" si="178"/>
        <v>1706</v>
      </c>
      <c r="J655" s="522">
        <f t="shared" si="178"/>
        <v>1737</v>
      </c>
      <c r="K655" s="522">
        <f t="shared" si="178"/>
        <v>1737</v>
      </c>
      <c r="L655" s="521"/>
      <c r="N655" s="521"/>
      <c r="O655" s="521"/>
    </row>
    <row r="656" spans="1:15" s="519" customFormat="1" x14ac:dyDescent="0.25">
      <c r="A656" s="451" t="s">
        <v>61</v>
      </c>
      <c r="B656" s="515" t="s">
        <v>8</v>
      </c>
      <c r="C656" s="516" t="s">
        <v>30</v>
      </c>
      <c r="D656" s="291" t="s">
        <v>664</v>
      </c>
      <c r="E656" s="407">
        <v>610</v>
      </c>
      <c r="F656" s="522">
        <f>'ведом. 2025-2027'!AD716</f>
        <v>1681</v>
      </c>
      <c r="G656" s="522">
        <f>F656</f>
        <v>1681</v>
      </c>
      <c r="H656" s="522">
        <f>'ведом. 2025-2027'!AE716</f>
        <v>1706</v>
      </c>
      <c r="I656" s="522">
        <f>H656</f>
        <v>1706</v>
      </c>
      <c r="J656" s="522">
        <f>'ведом. 2025-2027'!AF716</f>
        <v>1737</v>
      </c>
      <c r="K656" s="522">
        <f>J656</f>
        <v>1737</v>
      </c>
      <c r="L656" s="521"/>
      <c r="N656" s="521"/>
      <c r="O656" s="521"/>
    </row>
    <row r="657" spans="1:15" s="519" customFormat="1" ht="63" x14ac:dyDescent="0.25">
      <c r="A657" s="523" t="s">
        <v>660</v>
      </c>
      <c r="B657" s="515" t="s">
        <v>8</v>
      </c>
      <c r="C657" s="516" t="s">
        <v>30</v>
      </c>
      <c r="D657" s="291" t="s">
        <v>661</v>
      </c>
      <c r="E657" s="407"/>
      <c r="F657" s="522">
        <f>F658</f>
        <v>38123</v>
      </c>
      <c r="G657" s="522">
        <f t="shared" ref="G657:K658" si="179">G658</f>
        <v>38123</v>
      </c>
      <c r="H657" s="522">
        <f t="shared" si="179"/>
        <v>38123</v>
      </c>
      <c r="I657" s="522">
        <f t="shared" si="179"/>
        <v>38123</v>
      </c>
      <c r="J657" s="522">
        <f t="shared" si="179"/>
        <v>38123</v>
      </c>
      <c r="K657" s="522">
        <f t="shared" si="179"/>
        <v>38123</v>
      </c>
      <c r="L657" s="521"/>
      <c r="N657" s="521"/>
      <c r="O657" s="521"/>
    </row>
    <row r="658" spans="1:15" s="519" customFormat="1" ht="31.5" x14ac:dyDescent="0.25">
      <c r="A658" s="523" t="s">
        <v>60</v>
      </c>
      <c r="B658" s="515" t="s">
        <v>8</v>
      </c>
      <c r="C658" s="516" t="s">
        <v>30</v>
      </c>
      <c r="D658" s="291" t="s">
        <v>661</v>
      </c>
      <c r="E658" s="407">
        <v>600</v>
      </c>
      <c r="F658" s="522">
        <f>F659</f>
        <v>38123</v>
      </c>
      <c r="G658" s="522">
        <f t="shared" si="179"/>
        <v>38123</v>
      </c>
      <c r="H658" s="522">
        <f t="shared" si="179"/>
        <v>38123</v>
      </c>
      <c r="I658" s="522">
        <f t="shared" si="179"/>
        <v>38123</v>
      </c>
      <c r="J658" s="522">
        <f t="shared" si="179"/>
        <v>38123</v>
      </c>
      <c r="K658" s="522">
        <f t="shared" si="179"/>
        <v>38123</v>
      </c>
      <c r="L658" s="521"/>
      <c r="N658" s="521"/>
      <c r="O658" s="521"/>
    </row>
    <row r="659" spans="1:15" s="519" customFormat="1" x14ac:dyDescent="0.25">
      <c r="A659" s="523" t="s">
        <v>61</v>
      </c>
      <c r="B659" s="515" t="s">
        <v>8</v>
      </c>
      <c r="C659" s="516" t="s">
        <v>30</v>
      </c>
      <c r="D659" s="291" t="s">
        <v>661</v>
      </c>
      <c r="E659" s="407">
        <v>610</v>
      </c>
      <c r="F659" s="522">
        <f>'ведом. 2025-2027'!AD719</f>
        <v>38123</v>
      </c>
      <c r="G659" s="524">
        <f>F659</f>
        <v>38123</v>
      </c>
      <c r="H659" s="522">
        <f>'ведом. 2025-2027'!AE719</f>
        <v>38123</v>
      </c>
      <c r="I659" s="522">
        <f>H659</f>
        <v>38123</v>
      </c>
      <c r="J659" s="522">
        <f>'ведом. 2025-2027'!AF719</f>
        <v>38123</v>
      </c>
      <c r="K659" s="522">
        <f>J659</f>
        <v>38123</v>
      </c>
      <c r="L659" s="521"/>
      <c r="N659" s="521"/>
      <c r="O659" s="521"/>
    </row>
    <row r="660" spans="1:15" s="138" customFormat="1" x14ac:dyDescent="0.25">
      <c r="A660" s="375" t="s">
        <v>134</v>
      </c>
      <c r="B660" s="196" t="s">
        <v>8</v>
      </c>
      <c r="C660" s="4" t="s">
        <v>7</v>
      </c>
      <c r="D660" s="26"/>
      <c r="E660" s="326"/>
      <c r="F660" s="159">
        <f t="shared" ref="F660:K660" si="180">F675+F661</f>
        <v>158670.40000000002</v>
      </c>
      <c r="G660" s="522">
        <f t="shared" si="180"/>
        <v>12465.8</v>
      </c>
      <c r="H660" s="522">
        <f t="shared" si="180"/>
        <v>119938.2</v>
      </c>
      <c r="I660" s="522">
        <f t="shared" si="180"/>
        <v>5026</v>
      </c>
      <c r="J660" s="522">
        <f t="shared" si="180"/>
        <v>122324.3</v>
      </c>
      <c r="K660" s="522">
        <f t="shared" si="180"/>
        <v>5026</v>
      </c>
      <c r="L660" s="154"/>
      <c r="N660" s="154"/>
      <c r="O660" s="154"/>
    </row>
    <row r="661" spans="1:15" s="177" customFormat="1" x14ac:dyDescent="0.25">
      <c r="A661" s="255" t="s">
        <v>573</v>
      </c>
      <c r="B661" s="196" t="s">
        <v>8</v>
      </c>
      <c r="C661" s="4" t="s">
        <v>7</v>
      </c>
      <c r="D661" s="156" t="s">
        <v>114</v>
      </c>
      <c r="E661" s="330"/>
      <c r="F661" s="159">
        <f>F662</f>
        <v>80865.000000000015</v>
      </c>
      <c r="G661" s="522">
        <f t="shared" ref="G661:J661" si="181">G662</f>
        <v>7439.8</v>
      </c>
      <c r="H661" s="522">
        <f t="shared" si="181"/>
        <v>43856</v>
      </c>
      <c r="I661" s="522"/>
      <c r="J661" s="522">
        <f t="shared" si="181"/>
        <v>43856</v>
      </c>
      <c r="K661" s="522"/>
      <c r="L661" s="154"/>
      <c r="N661" s="154"/>
      <c r="O661" s="154"/>
    </row>
    <row r="662" spans="1:15" s="177" customFormat="1" x14ac:dyDescent="0.25">
      <c r="A662" s="253" t="s">
        <v>497</v>
      </c>
      <c r="B662" s="196" t="s">
        <v>8</v>
      </c>
      <c r="C662" s="4" t="s">
        <v>7</v>
      </c>
      <c r="D662" s="156" t="s">
        <v>381</v>
      </c>
      <c r="E662" s="325"/>
      <c r="F662" s="159">
        <f>F663+F671+F667</f>
        <v>80865.000000000015</v>
      </c>
      <c r="G662" s="522">
        <f t="shared" ref="G662:J662" si="182">G663+G671+G667</f>
        <v>7439.8</v>
      </c>
      <c r="H662" s="522">
        <f t="shared" si="182"/>
        <v>43856</v>
      </c>
      <c r="I662" s="522"/>
      <c r="J662" s="522">
        <f t="shared" si="182"/>
        <v>43856</v>
      </c>
      <c r="K662" s="522"/>
      <c r="L662" s="154"/>
      <c r="N662" s="154"/>
      <c r="O662" s="154"/>
    </row>
    <row r="663" spans="1:15" s="177" customFormat="1" ht="39" customHeight="1" x14ac:dyDescent="0.25">
      <c r="A663" s="523" t="s">
        <v>423</v>
      </c>
      <c r="B663" s="191" t="s">
        <v>8</v>
      </c>
      <c r="C663" s="4" t="s">
        <v>7</v>
      </c>
      <c r="D663" s="156" t="s">
        <v>382</v>
      </c>
      <c r="E663" s="325"/>
      <c r="F663" s="159">
        <f>F664</f>
        <v>72348.100000000006</v>
      </c>
      <c r="G663" s="306"/>
      <c r="H663" s="522">
        <f>H664</f>
        <v>43856</v>
      </c>
      <c r="I663" s="522"/>
      <c r="J663" s="522">
        <f>J664</f>
        <v>43856</v>
      </c>
      <c r="K663" s="522"/>
      <c r="L663" s="154"/>
      <c r="N663" s="154"/>
      <c r="O663" s="154"/>
    </row>
    <row r="664" spans="1:15" s="177" customFormat="1" ht="31.5" x14ac:dyDescent="0.25">
      <c r="A664" s="375" t="s">
        <v>380</v>
      </c>
      <c r="B664" s="191" t="s">
        <v>8</v>
      </c>
      <c r="C664" s="4" t="s">
        <v>7</v>
      </c>
      <c r="D664" s="156" t="s">
        <v>383</v>
      </c>
      <c r="E664" s="325"/>
      <c r="F664" s="159">
        <f>F665</f>
        <v>72348.100000000006</v>
      </c>
      <c r="G664" s="306"/>
      <c r="H664" s="522">
        <f>H665</f>
        <v>43856</v>
      </c>
      <c r="I664" s="522"/>
      <c r="J664" s="522">
        <f>J665</f>
        <v>43856</v>
      </c>
      <c r="K664" s="522"/>
      <c r="L664" s="154"/>
      <c r="N664" s="154"/>
      <c r="O664" s="154"/>
    </row>
    <row r="665" spans="1:15" s="177" customFormat="1" ht="31.5" x14ac:dyDescent="0.25">
      <c r="A665" s="253" t="s">
        <v>60</v>
      </c>
      <c r="B665" s="191" t="s">
        <v>8</v>
      </c>
      <c r="C665" s="4" t="s">
        <v>7</v>
      </c>
      <c r="D665" s="156" t="s">
        <v>383</v>
      </c>
      <c r="E665" s="325">
        <v>600</v>
      </c>
      <c r="F665" s="159">
        <f>F666</f>
        <v>72348.100000000006</v>
      </c>
      <c r="G665" s="306"/>
      <c r="H665" s="522">
        <f>H666</f>
        <v>43856</v>
      </c>
      <c r="I665" s="522"/>
      <c r="J665" s="522">
        <f>J666</f>
        <v>43856</v>
      </c>
      <c r="K665" s="522"/>
      <c r="L665" s="154"/>
      <c r="N665" s="154"/>
      <c r="O665" s="154"/>
    </row>
    <row r="666" spans="1:15" s="177" customFormat="1" x14ac:dyDescent="0.25">
      <c r="A666" s="253" t="s">
        <v>61</v>
      </c>
      <c r="B666" s="191" t="s">
        <v>8</v>
      </c>
      <c r="C666" s="4" t="s">
        <v>7</v>
      </c>
      <c r="D666" s="156" t="s">
        <v>383</v>
      </c>
      <c r="E666" s="325">
        <v>610</v>
      </c>
      <c r="F666" s="159">
        <f>'ведом. 2025-2027'!AD339</f>
        <v>72348.100000000006</v>
      </c>
      <c r="G666" s="306"/>
      <c r="H666" s="522">
        <f>'ведом. 2025-2027'!AE339</f>
        <v>43856</v>
      </c>
      <c r="I666" s="522"/>
      <c r="J666" s="522">
        <f>'ведом. 2025-2027'!AF339</f>
        <v>43856</v>
      </c>
      <c r="K666" s="522"/>
      <c r="L666" s="154"/>
      <c r="N666" s="154"/>
      <c r="O666" s="154"/>
    </row>
    <row r="667" spans="1:15" s="519" customFormat="1" ht="31.5" x14ac:dyDescent="0.25">
      <c r="A667" s="479" t="s">
        <v>740</v>
      </c>
      <c r="B667" s="453" t="s">
        <v>8</v>
      </c>
      <c r="C667" s="453" t="s">
        <v>7</v>
      </c>
      <c r="D667" s="542" t="s">
        <v>741</v>
      </c>
      <c r="E667" s="482"/>
      <c r="F667" s="522">
        <f>F668</f>
        <v>2499.8000000000002</v>
      </c>
      <c r="G667" s="522">
        <f t="shared" ref="G667:J668" si="183">G668</f>
        <v>2499.8000000000002</v>
      </c>
      <c r="H667" s="522">
        <f t="shared" si="183"/>
        <v>0</v>
      </c>
      <c r="I667" s="522"/>
      <c r="J667" s="522">
        <f t="shared" si="183"/>
        <v>0</v>
      </c>
      <c r="K667" s="522"/>
      <c r="L667" s="521"/>
      <c r="N667" s="521"/>
      <c r="O667" s="521"/>
    </row>
    <row r="668" spans="1:15" s="519" customFormat="1" ht="37.5" customHeight="1" x14ac:dyDescent="0.25">
      <c r="A668" s="479" t="s">
        <v>772</v>
      </c>
      <c r="B668" s="453" t="s">
        <v>8</v>
      </c>
      <c r="C668" s="453" t="s">
        <v>7</v>
      </c>
      <c r="D668" s="542" t="s">
        <v>742</v>
      </c>
      <c r="E668" s="482"/>
      <c r="F668" s="522">
        <f>F669</f>
        <v>2499.8000000000002</v>
      </c>
      <c r="G668" s="522">
        <f t="shared" si="183"/>
        <v>2499.8000000000002</v>
      </c>
      <c r="H668" s="522">
        <f t="shared" si="183"/>
        <v>0</v>
      </c>
      <c r="I668" s="522"/>
      <c r="J668" s="522">
        <f t="shared" si="183"/>
        <v>0</v>
      </c>
      <c r="K668" s="522"/>
      <c r="L668" s="521"/>
      <c r="N668" s="521"/>
      <c r="O668" s="521"/>
    </row>
    <row r="669" spans="1:15" s="519" customFormat="1" ht="31.5" x14ac:dyDescent="0.25">
      <c r="A669" s="479" t="s">
        <v>60</v>
      </c>
      <c r="B669" s="453" t="s">
        <v>8</v>
      </c>
      <c r="C669" s="453" t="s">
        <v>7</v>
      </c>
      <c r="D669" s="542" t="s">
        <v>742</v>
      </c>
      <c r="E669" s="482">
        <v>600</v>
      </c>
      <c r="F669" s="522">
        <f>F670</f>
        <v>2499.8000000000002</v>
      </c>
      <c r="G669" s="522">
        <f t="shared" ref="G669:J669" si="184">G670</f>
        <v>2499.8000000000002</v>
      </c>
      <c r="H669" s="522">
        <f t="shared" si="184"/>
        <v>0</v>
      </c>
      <c r="I669" s="522"/>
      <c r="J669" s="522">
        <f t="shared" si="184"/>
        <v>0</v>
      </c>
      <c r="K669" s="522"/>
      <c r="L669" s="521"/>
      <c r="N669" s="521"/>
      <c r="O669" s="521"/>
    </row>
    <row r="670" spans="1:15" s="519" customFormat="1" x14ac:dyDescent="0.25">
      <c r="A670" s="479" t="s">
        <v>61</v>
      </c>
      <c r="B670" s="453" t="s">
        <v>8</v>
      </c>
      <c r="C670" s="453" t="s">
        <v>7</v>
      </c>
      <c r="D670" s="542" t="s">
        <v>742</v>
      </c>
      <c r="E670" s="482">
        <v>610</v>
      </c>
      <c r="F670" s="522">
        <f>'ведом. 2025-2027'!AD343</f>
        <v>2499.8000000000002</v>
      </c>
      <c r="G670" s="524">
        <f>F670</f>
        <v>2499.8000000000002</v>
      </c>
      <c r="H670" s="522">
        <f>'ведом. 2025-2027'!AE343</f>
        <v>0</v>
      </c>
      <c r="I670" s="522"/>
      <c r="J670" s="522">
        <f>'ведом. 2025-2027'!AF343</f>
        <v>0</v>
      </c>
      <c r="K670" s="522"/>
      <c r="L670" s="521"/>
      <c r="N670" s="521"/>
      <c r="O670" s="521"/>
    </row>
    <row r="671" spans="1:15" s="519" customFormat="1" x14ac:dyDescent="0.25">
      <c r="A671" s="479" t="s">
        <v>736</v>
      </c>
      <c r="B671" s="453" t="s">
        <v>8</v>
      </c>
      <c r="C671" s="453" t="s">
        <v>7</v>
      </c>
      <c r="D671" s="542" t="s">
        <v>739</v>
      </c>
      <c r="E671" s="482"/>
      <c r="F671" s="522">
        <f>F672</f>
        <v>6017.1</v>
      </c>
      <c r="G671" s="522">
        <f t="shared" ref="G671:J673" si="185">G672</f>
        <v>4940</v>
      </c>
      <c r="H671" s="522">
        <f t="shared" si="185"/>
        <v>0</v>
      </c>
      <c r="I671" s="522"/>
      <c r="J671" s="522">
        <f t="shared" si="185"/>
        <v>0</v>
      </c>
      <c r="K671" s="522"/>
      <c r="L671" s="521"/>
      <c r="N671" s="521"/>
      <c r="O671" s="521"/>
    </row>
    <row r="672" spans="1:15" s="519" customFormat="1" ht="47.25" x14ac:dyDescent="0.25">
      <c r="A672" s="479" t="s">
        <v>737</v>
      </c>
      <c r="B672" s="453" t="s">
        <v>8</v>
      </c>
      <c r="C672" s="453" t="s">
        <v>7</v>
      </c>
      <c r="D672" s="542" t="s">
        <v>738</v>
      </c>
      <c r="E672" s="482"/>
      <c r="F672" s="522">
        <f>F673</f>
        <v>6017.1</v>
      </c>
      <c r="G672" s="522">
        <f t="shared" si="185"/>
        <v>4940</v>
      </c>
      <c r="H672" s="522">
        <f t="shared" si="185"/>
        <v>0</v>
      </c>
      <c r="I672" s="522"/>
      <c r="J672" s="522">
        <f t="shared" si="185"/>
        <v>0</v>
      </c>
      <c r="K672" s="522"/>
      <c r="L672" s="521"/>
      <c r="N672" s="521"/>
      <c r="O672" s="521"/>
    </row>
    <row r="673" spans="1:15" s="519" customFormat="1" ht="31.5" x14ac:dyDescent="0.25">
      <c r="A673" s="479" t="s">
        <v>60</v>
      </c>
      <c r="B673" s="453" t="s">
        <v>8</v>
      </c>
      <c r="C673" s="453" t="s">
        <v>7</v>
      </c>
      <c r="D673" s="542" t="s">
        <v>738</v>
      </c>
      <c r="E673" s="482">
        <v>600</v>
      </c>
      <c r="F673" s="522">
        <f>F674</f>
        <v>6017.1</v>
      </c>
      <c r="G673" s="522">
        <f t="shared" si="185"/>
        <v>4940</v>
      </c>
      <c r="H673" s="522">
        <f t="shared" si="185"/>
        <v>0</v>
      </c>
      <c r="I673" s="522"/>
      <c r="J673" s="522">
        <f t="shared" si="185"/>
        <v>0</v>
      </c>
      <c r="K673" s="522"/>
      <c r="L673" s="521"/>
      <c r="N673" s="521"/>
      <c r="O673" s="521"/>
    </row>
    <row r="674" spans="1:15" s="519" customFormat="1" x14ac:dyDescent="0.25">
      <c r="A674" s="479" t="s">
        <v>61</v>
      </c>
      <c r="B674" s="453" t="s">
        <v>8</v>
      </c>
      <c r="C674" s="453" t="s">
        <v>7</v>
      </c>
      <c r="D674" s="542" t="s">
        <v>738</v>
      </c>
      <c r="E674" s="482">
        <v>610</v>
      </c>
      <c r="F674" s="522">
        <f>'ведом. 2025-2027'!AD347</f>
        <v>6017.1</v>
      </c>
      <c r="G674" s="524">
        <v>4940</v>
      </c>
      <c r="H674" s="522">
        <f>'ведом. 2025-2027'!AE347</f>
        <v>0</v>
      </c>
      <c r="I674" s="522"/>
      <c r="J674" s="522">
        <f>'ведом. 2025-2027'!AF347</f>
        <v>0</v>
      </c>
      <c r="K674" s="522"/>
      <c r="L674" s="521"/>
      <c r="N674" s="521"/>
      <c r="O674" s="521"/>
    </row>
    <row r="675" spans="1:15" s="138" customFormat="1" x14ac:dyDescent="0.25">
      <c r="A675" s="385" t="s">
        <v>262</v>
      </c>
      <c r="B675" s="196" t="s">
        <v>8</v>
      </c>
      <c r="C675" s="4" t="s">
        <v>7</v>
      </c>
      <c r="D675" s="26" t="s">
        <v>100</v>
      </c>
      <c r="E675" s="326"/>
      <c r="F675" s="159">
        <f t="shared" ref="F675:K675" si="186">F681+F676</f>
        <v>77805.399999999994</v>
      </c>
      <c r="G675" s="306">
        <f t="shared" si="186"/>
        <v>5026</v>
      </c>
      <c r="H675" s="522">
        <f t="shared" si="186"/>
        <v>76082.2</v>
      </c>
      <c r="I675" s="522">
        <f t="shared" si="186"/>
        <v>5026</v>
      </c>
      <c r="J675" s="522">
        <f t="shared" si="186"/>
        <v>78468.3</v>
      </c>
      <c r="K675" s="522">
        <f t="shared" si="186"/>
        <v>5026</v>
      </c>
      <c r="L675" s="154"/>
      <c r="N675" s="154"/>
      <c r="O675" s="154"/>
    </row>
    <row r="676" spans="1:15" s="177" customFormat="1" x14ac:dyDescent="0.25">
      <c r="A676" s="255" t="s">
        <v>265</v>
      </c>
      <c r="B676" s="191" t="s">
        <v>8</v>
      </c>
      <c r="C676" s="4" t="s">
        <v>7</v>
      </c>
      <c r="D676" s="156" t="s">
        <v>117</v>
      </c>
      <c r="E676" s="326"/>
      <c r="F676" s="159">
        <f t="shared" ref="F676:K679" si="187">F677</f>
        <v>5026</v>
      </c>
      <c r="G676" s="306">
        <f t="shared" si="187"/>
        <v>5026</v>
      </c>
      <c r="H676" s="522">
        <f t="shared" si="187"/>
        <v>5026</v>
      </c>
      <c r="I676" s="522">
        <f t="shared" si="187"/>
        <v>5026</v>
      </c>
      <c r="J676" s="522">
        <f t="shared" si="187"/>
        <v>5026</v>
      </c>
      <c r="K676" s="522">
        <f t="shared" si="187"/>
        <v>5026</v>
      </c>
      <c r="L676" s="154"/>
      <c r="N676" s="154"/>
      <c r="O676" s="154"/>
    </row>
    <row r="677" spans="1:15" s="177" customFormat="1" ht="31.5" x14ac:dyDescent="0.25">
      <c r="A677" s="271" t="s">
        <v>266</v>
      </c>
      <c r="B677" s="191" t="s">
        <v>8</v>
      </c>
      <c r="C677" s="4" t="s">
        <v>7</v>
      </c>
      <c r="D677" s="156" t="s">
        <v>447</v>
      </c>
      <c r="E677" s="326"/>
      <c r="F677" s="159">
        <f t="shared" si="187"/>
        <v>5026</v>
      </c>
      <c r="G677" s="306">
        <f t="shared" si="187"/>
        <v>5026</v>
      </c>
      <c r="H677" s="522">
        <f t="shared" si="187"/>
        <v>5026</v>
      </c>
      <c r="I677" s="522">
        <f t="shared" si="187"/>
        <v>5026</v>
      </c>
      <c r="J677" s="522">
        <f t="shared" si="187"/>
        <v>5026</v>
      </c>
      <c r="K677" s="522">
        <f t="shared" si="187"/>
        <v>5026</v>
      </c>
      <c r="L677" s="154"/>
      <c r="N677" s="154"/>
      <c r="O677" s="154"/>
    </row>
    <row r="678" spans="1:15" s="177" customFormat="1" ht="141.75" x14ac:dyDescent="0.25">
      <c r="A678" s="256" t="s">
        <v>400</v>
      </c>
      <c r="B678" s="192" t="s">
        <v>8</v>
      </c>
      <c r="C678" s="186" t="s">
        <v>7</v>
      </c>
      <c r="D678" s="156" t="s">
        <v>471</v>
      </c>
      <c r="E678" s="326"/>
      <c r="F678" s="159">
        <f t="shared" si="187"/>
        <v>5026</v>
      </c>
      <c r="G678" s="306">
        <f t="shared" si="187"/>
        <v>5026</v>
      </c>
      <c r="H678" s="522">
        <f t="shared" si="187"/>
        <v>5026</v>
      </c>
      <c r="I678" s="522">
        <f t="shared" si="187"/>
        <v>5026</v>
      </c>
      <c r="J678" s="522">
        <f t="shared" si="187"/>
        <v>5026</v>
      </c>
      <c r="K678" s="522">
        <f t="shared" si="187"/>
        <v>5026</v>
      </c>
      <c r="L678" s="154"/>
      <c r="N678" s="154"/>
      <c r="O678" s="154"/>
    </row>
    <row r="679" spans="1:15" s="177" customFormat="1" ht="31.5" x14ac:dyDescent="0.25">
      <c r="A679" s="253" t="s">
        <v>60</v>
      </c>
      <c r="B679" s="191" t="s">
        <v>8</v>
      </c>
      <c r="C679" s="4" t="s">
        <v>7</v>
      </c>
      <c r="D679" s="156" t="s">
        <v>471</v>
      </c>
      <c r="E679" s="326">
        <v>600</v>
      </c>
      <c r="F679" s="159">
        <f t="shared" si="187"/>
        <v>5026</v>
      </c>
      <c r="G679" s="306">
        <f t="shared" si="187"/>
        <v>5026</v>
      </c>
      <c r="H679" s="522">
        <f t="shared" si="187"/>
        <v>5026</v>
      </c>
      <c r="I679" s="522">
        <f t="shared" si="187"/>
        <v>5026</v>
      </c>
      <c r="J679" s="522">
        <f t="shared" si="187"/>
        <v>5026</v>
      </c>
      <c r="K679" s="522">
        <f t="shared" si="187"/>
        <v>5026</v>
      </c>
      <c r="L679" s="154"/>
      <c r="N679" s="154"/>
      <c r="O679" s="154"/>
    </row>
    <row r="680" spans="1:15" s="177" customFormat="1" x14ac:dyDescent="0.25">
      <c r="A680" s="253" t="s">
        <v>61</v>
      </c>
      <c r="B680" s="191" t="s">
        <v>8</v>
      </c>
      <c r="C680" s="4" t="s">
        <v>7</v>
      </c>
      <c r="D680" s="156" t="s">
        <v>471</v>
      </c>
      <c r="E680" s="326">
        <v>610</v>
      </c>
      <c r="F680" s="159">
        <f>'ведом. 2025-2027'!AD726</f>
        <v>5026</v>
      </c>
      <c r="G680" s="306">
        <f>F680</f>
        <v>5026</v>
      </c>
      <c r="H680" s="522">
        <f>'ведом. 2025-2027'!AE726</f>
        <v>5026</v>
      </c>
      <c r="I680" s="522">
        <f>H680</f>
        <v>5026</v>
      </c>
      <c r="J680" s="522">
        <f>'ведом. 2025-2027'!AF726</f>
        <v>5026</v>
      </c>
      <c r="K680" s="522">
        <f>J680</f>
        <v>5026</v>
      </c>
      <c r="L680" s="154"/>
      <c r="N680" s="154"/>
      <c r="O680" s="154"/>
    </row>
    <row r="681" spans="1:15" s="138" customFormat="1" ht="31.5" x14ac:dyDescent="0.25">
      <c r="A681" s="255" t="s">
        <v>475</v>
      </c>
      <c r="B681" s="196" t="s">
        <v>8</v>
      </c>
      <c r="C681" s="4" t="s">
        <v>7</v>
      </c>
      <c r="D681" s="156" t="s">
        <v>101</v>
      </c>
      <c r="E681" s="340"/>
      <c r="F681" s="159">
        <f>F682+F687</f>
        <v>72779.399999999994</v>
      </c>
      <c r="G681" s="306"/>
      <c r="H681" s="522">
        <f>H682+H687</f>
        <v>71056.2</v>
      </c>
      <c r="I681" s="522"/>
      <c r="J681" s="522">
        <f>J682+J687</f>
        <v>73442.3</v>
      </c>
      <c r="K681" s="522"/>
      <c r="L681" s="154"/>
      <c r="N681" s="154"/>
      <c r="O681" s="154"/>
    </row>
    <row r="682" spans="1:15" s="138" customFormat="1" ht="31.5" x14ac:dyDescent="0.25">
      <c r="A682" s="255" t="s">
        <v>476</v>
      </c>
      <c r="B682" s="196" t="s">
        <v>8</v>
      </c>
      <c r="C682" s="4" t="s">
        <v>7</v>
      </c>
      <c r="D682" s="156" t="s">
        <v>477</v>
      </c>
      <c r="E682" s="340"/>
      <c r="F682" s="159">
        <f>F683</f>
        <v>38763.899999999994</v>
      </c>
      <c r="G682" s="522"/>
      <c r="H682" s="522">
        <f t="shared" ref="H682:J682" si="188">H683</f>
        <v>38974.5</v>
      </c>
      <c r="I682" s="522"/>
      <c r="J682" s="522">
        <f t="shared" si="188"/>
        <v>39288.600000000006</v>
      </c>
      <c r="K682" s="522"/>
      <c r="L682" s="154"/>
      <c r="N682" s="154"/>
      <c r="O682" s="154"/>
    </row>
    <row r="683" spans="1:15" s="138" customFormat="1" ht="31.5" x14ac:dyDescent="0.25">
      <c r="A683" s="255" t="s">
        <v>268</v>
      </c>
      <c r="B683" s="196" t="s">
        <v>8</v>
      </c>
      <c r="C683" s="4" t="s">
        <v>7</v>
      </c>
      <c r="D683" s="156" t="s">
        <v>478</v>
      </c>
      <c r="E683" s="342"/>
      <c r="F683" s="159">
        <f>F684</f>
        <v>38763.899999999994</v>
      </c>
      <c r="G683" s="159"/>
      <c r="H683" s="522">
        <f>H684</f>
        <v>38974.5</v>
      </c>
      <c r="I683" s="522"/>
      <c r="J683" s="522">
        <f>J684</f>
        <v>39288.600000000006</v>
      </c>
      <c r="K683" s="522"/>
      <c r="L683" s="154"/>
      <c r="N683" s="154"/>
      <c r="O683" s="154"/>
    </row>
    <row r="684" spans="1:15" s="177" customFormat="1" ht="31.5" x14ac:dyDescent="0.25">
      <c r="A684" s="375" t="s">
        <v>331</v>
      </c>
      <c r="B684" s="196" t="s">
        <v>8</v>
      </c>
      <c r="C684" s="4" t="s">
        <v>7</v>
      </c>
      <c r="D684" s="156" t="s">
        <v>479</v>
      </c>
      <c r="E684" s="343"/>
      <c r="F684" s="159">
        <f>F686</f>
        <v>38763.899999999994</v>
      </c>
      <c r="G684" s="306"/>
      <c r="H684" s="522">
        <f>H686</f>
        <v>38974.5</v>
      </c>
      <c r="I684" s="522"/>
      <c r="J684" s="522">
        <f>J686</f>
        <v>39288.600000000006</v>
      </c>
      <c r="K684" s="522"/>
      <c r="L684" s="154"/>
      <c r="N684" s="154"/>
      <c r="O684" s="154"/>
    </row>
    <row r="685" spans="1:15" s="177" customFormat="1" ht="31.5" x14ac:dyDescent="0.25">
      <c r="A685" s="375" t="s">
        <v>60</v>
      </c>
      <c r="B685" s="196" t="s">
        <v>8</v>
      </c>
      <c r="C685" s="4" t="s">
        <v>7</v>
      </c>
      <c r="D685" s="156" t="s">
        <v>479</v>
      </c>
      <c r="E685" s="326">
        <v>600</v>
      </c>
      <c r="F685" s="159">
        <f>F686</f>
        <v>38763.899999999994</v>
      </c>
      <c r="G685" s="306"/>
      <c r="H685" s="522">
        <f>H686</f>
        <v>38974.5</v>
      </c>
      <c r="I685" s="522"/>
      <c r="J685" s="522">
        <f>J686</f>
        <v>39288.600000000006</v>
      </c>
      <c r="K685" s="522"/>
      <c r="L685" s="154"/>
      <c r="N685" s="154"/>
      <c r="O685" s="154"/>
    </row>
    <row r="686" spans="1:15" s="177" customFormat="1" x14ac:dyDescent="0.25">
      <c r="A686" s="375" t="s">
        <v>61</v>
      </c>
      <c r="B686" s="196" t="s">
        <v>8</v>
      </c>
      <c r="C686" s="4" t="s">
        <v>7</v>
      </c>
      <c r="D686" s="156" t="s">
        <v>479</v>
      </c>
      <c r="E686" s="326">
        <v>610</v>
      </c>
      <c r="F686" s="159">
        <f>'ведом. 2025-2027'!AD732</f>
        <v>38763.899999999994</v>
      </c>
      <c r="G686" s="306"/>
      <c r="H686" s="522">
        <f>'ведом. 2025-2027'!AE732</f>
        <v>38974.5</v>
      </c>
      <c r="I686" s="522"/>
      <c r="J686" s="522">
        <f>'ведом. 2025-2027'!AF732</f>
        <v>39288.600000000006</v>
      </c>
      <c r="K686" s="522"/>
      <c r="L686" s="154"/>
      <c r="N686" s="154"/>
      <c r="O686" s="154"/>
    </row>
    <row r="687" spans="1:15" s="138" customFormat="1" ht="31.5" x14ac:dyDescent="0.25">
      <c r="A687" s="255" t="s">
        <v>480</v>
      </c>
      <c r="B687" s="196" t="s">
        <v>8</v>
      </c>
      <c r="C687" s="4" t="s">
        <v>7</v>
      </c>
      <c r="D687" s="156" t="s">
        <v>481</v>
      </c>
      <c r="E687" s="326"/>
      <c r="F687" s="159">
        <f>F688</f>
        <v>34015.5</v>
      </c>
      <c r="G687" s="306"/>
      <c r="H687" s="522">
        <f>H688</f>
        <v>32081.7</v>
      </c>
      <c r="I687" s="522"/>
      <c r="J687" s="522">
        <f>J688</f>
        <v>34153.699999999997</v>
      </c>
      <c r="K687" s="522"/>
      <c r="L687" s="154"/>
      <c r="N687" s="154"/>
      <c r="O687" s="154"/>
    </row>
    <row r="688" spans="1:15" s="138" customFormat="1" ht="31.5" x14ac:dyDescent="0.25">
      <c r="A688" s="256" t="s">
        <v>156</v>
      </c>
      <c r="B688" s="196" t="s">
        <v>8</v>
      </c>
      <c r="C688" s="4" t="s">
        <v>7</v>
      </c>
      <c r="D688" s="156" t="s">
        <v>482</v>
      </c>
      <c r="E688" s="326"/>
      <c r="F688" s="159">
        <f>F689</f>
        <v>34015.5</v>
      </c>
      <c r="G688" s="522"/>
      <c r="H688" s="522">
        <f t="shared" ref="H688:J688" si="189">H689</f>
        <v>32081.7</v>
      </c>
      <c r="I688" s="522"/>
      <c r="J688" s="522">
        <f t="shared" si="189"/>
        <v>34153.699999999997</v>
      </c>
      <c r="K688" s="522"/>
      <c r="L688" s="154"/>
      <c r="N688" s="154"/>
      <c r="O688" s="154"/>
    </row>
    <row r="689" spans="1:15" s="138" customFormat="1" ht="31.5" x14ac:dyDescent="0.25">
      <c r="A689" s="375" t="s">
        <v>60</v>
      </c>
      <c r="B689" s="196" t="s">
        <v>8</v>
      </c>
      <c r="C689" s="4" t="s">
        <v>7</v>
      </c>
      <c r="D689" s="156" t="s">
        <v>482</v>
      </c>
      <c r="E689" s="326">
        <v>600</v>
      </c>
      <c r="F689" s="159">
        <f>F690+F691+F692</f>
        <v>34015.5</v>
      </c>
      <c r="G689" s="306"/>
      <c r="H689" s="522">
        <f>H690+H691+H692</f>
        <v>32081.7</v>
      </c>
      <c r="I689" s="522"/>
      <c r="J689" s="522">
        <f>J690+J691+J692</f>
        <v>34153.699999999997</v>
      </c>
      <c r="K689" s="522"/>
      <c r="L689" s="154"/>
      <c r="N689" s="154"/>
      <c r="O689" s="154"/>
    </row>
    <row r="690" spans="1:15" s="138" customFormat="1" x14ac:dyDescent="0.25">
      <c r="A690" s="375" t="s">
        <v>61</v>
      </c>
      <c r="B690" s="196" t="s">
        <v>8</v>
      </c>
      <c r="C690" s="4" t="s">
        <v>7</v>
      </c>
      <c r="D690" s="156" t="s">
        <v>482</v>
      </c>
      <c r="E690" s="326">
        <v>610</v>
      </c>
      <c r="F690" s="159">
        <f>'ведом. 2025-2027'!AD736</f>
        <v>30689.8</v>
      </c>
      <c r="G690" s="306"/>
      <c r="H690" s="522">
        <f>'ведом. 2025-2027'!AE736</f>
        <v>28747.1</v>
      </c>
      <c r="I690" s="522"/>
      <c r="J690" s="522">
        <f>'ведом. 2025-2027'!AF736</f>
        <v>30816.199999999997</v>
      </c>
      <c r="K690" s="522"/>
      <c r="L690" s="154"/>
      <c r="N690" s="154"/>
      <c r="O690" s="154"/>
    </row>
    <row r="691" spans="1:15" s="177" customFormat="1" x14ac:dyDescent="0.25">
      <c r="A691" s="253" t="s">
        <v>130</v>
      </c>
      <c r="B691" s="196" t="s">
        <v>8</v>
      </c>
      <c r="C691" s="4" t="s">
        <v>7</v>
      </c>
      <c r="D691" s="156" t="s">
        <v>482</v>
      </c>
      <c r="E691" s="326">
        <v>620</v>
      </c>
      <c r="F691" s="159">
        <f>'ведом. 2025-2027'!AD737</f>
        <v>2697</v>
      </c>
      <c r="G691" s="306"/>
      <c r="H691" s="522">
        <f>'ведом. 2025-2027'!AE737</f>
        <v>2705.8999999999996</v>
      </c>
      <c r="I691" s="522"/>
      <c r="J691" s="522">
        <f>'ведом. 2025-2027'!AF737</f>
        <v>2708.8</v>
      </c>
      <c r="K691" s="522"/>
      <c r="L691" s="154"/>
      <c r="N691" s="154"/>
      <c r="O691" s="154"/>
    </row>
    <row r="692" spans="1:15" s="177" customFormat="1" ht="47.25" x14ac:dyDescent="0.25">
      <c r="A692" s="253" t="s">
        <v>364</v>
      </c>
      <c r="B692" s="196" t="s">
        <v>8</v>
      </c>
      <c r="C692" s="4" t="s">
        <v>7</v>
      </c>
      <c r="D692" s="156" t="s">
        <v>482</v>
      </c>
      <c r="E692" s="326">
        <v>630</v>
      </c>
      <c r="F692" s="159">
        <f>'ведом. 2025-2027'!AD738</f>
        <v>628.70000000000005</v>
      </c>
      <c r="G692" s="306"/>
      <c r="H692" s="522">
        <f>'ведом. 2025-2027'!AE738</f>
        <v>628.70000000000005</v>
      </c>
      <c r="I692" s="522"/>
      <c r="J692" s="522">
        <f>'ведом. 2025-2027'!AF738</f>
        <v>628.70000000000005</v>
      </c>
      <c r="K692" s="522"/>
      <c r="L692" s="154"/>
      <c r="N692" s="154"/>
      <c r="O692" s="154"/>
    </row>
    <row r="693" spans="1:15" s="138" customFormat="1" x14ac:dyDescent="0.25">
      <c r="A693" s="375" t="s">
        <v>135</v>
      </c>
      <c r="B693" s="191" t="s">
        <v>8</v>
      </c>
      <c r="C693" s="4" t="s">
        <v>8</v>
      </c>
      <c r="D693" s="26"/>
      <c r="E693" s="325"/>
      <c r="F693" s="159">
        <f>F694+F700</f>
        <v>3026.2999999999997</v>
      </c>
      <c r="G693" s="159"/>
      <c r="H693" s="522">
        <f>H694+H700</f>
        <v>2157.9</v>
      </c>
      <c r="I693" s="522"/>
      <c r="J693" s="522">
        <f>J694+J700</f>
        <v>2246.4</v>
      </c>
      <c r="K693" s="522"/>
      <c r="L693" s="154"/>
      <c r="N693" s="154"/>
      <c r="O693" s="154"/>
    </row>
    <row r="694" spans="1:15" s="138" customFormat="1" ht="31.5" x14ac:dyDescent="0.25">
      <c r="A694" s="255" t="s">
        <v>161</v>
      </c>
      <c r="B694" s="191" t="s">
        <v>8</v>
      </c>
      <c r="C694" s="4" t="s">
        <v>8</v>
      </c>
      <c r="D694" s="26" t="s">
        <v>102</v>
      </c>
      <c r="E694" s="325"/>
      <c r="F694" s="159">
        <f>F695</f>
        <v>295.2</v>
      </c>
      <c r="G694" s="306"/>
      <c r="H694" s="522">
        <f>H695</f>
        <v>295.2</v>
      </c>
      <c r="I694" s="522"/>
      <c r="J694" s="522">
        <f>J695</f>
        <v>295.2</v>
      </c>
      <c r="K694" s="522"/>
      <c r="L694" s="154"/>
      <c r="N694" s="154"/>
      <c r="O694" s="154"/>
    </row>
    <row r="695" spans="1:15" s="138" customFormat="1" x14ac:dyDescent="0.25">
      <c r="A695" s="259" t="s">
        <v>162</v>
      </c>
      <c r="B695" s="191" t="s">
        <v>8</v>
      </c>
      <c r="C695" s="4" t="s">
        <v>8</v>
      </c>
      <c r="D695" s="26" t="s">
        <v>106</v>
      </c>
      <c r="E695" s="325"/>
      <c r="F695" s="159">
        <f>F696</f>
        <v>295.2</v>
      </c>
      <c r="G695" s="306"/>
      <c r="H695" s="522">
        <f>H696</f>
        <v>295.2</v>
      </c>
      <c r="I695" s="522"/>
      <c r="J695" s="522">
        <f>J696</f>
        <v>295.2</v>
      </c>
      <c r="K695" s="522"/>
      <c r="L695" s="154"/>
      <c r="N695" s="154"/>
      <c r="O695" s="154"/>
    </row>
    <row r="696" spans="1:15" s="138" customFormat="1" ht="31.5" x14ac:dyDescent="0.25">
      <c r="A696" s="277" t="s">
        <v>527</v>
      </c>
      <c r="B696" s="191" t="s">
        <v>8</v>
      </c>
      <c r="C696" s="4" t="s">
        <v>8</v>
      </c>
      <c r="D696" s="156" t="s">
        <v>166</v>
      </c>
      <c r="E696" s="325"/>
      <c r="F696" s="159">
        <f>F697</f>
        <v>295.2</v>
      </c>
      <c r="G696" s="306"/>
      <c r="H696" s="522">
        <f>H697</f>
        <v>295.2</v>
      </c>
      <c r="I696" s="522"/>
      <c r="J696" s="522">
        <f>J697</f>
        <v>295.2</v>
      </c>
      <c r="K696" s="522"/>
      <c r="L696" s="154"/>
      <c r="N696" s="154"/>
      <c r="O696" s="154"/>
    </row>
    <row r="697" spans="1:15" s="138" customFormat="1" ht="31.5" x14ac:dyDescent="0.25">
      <c r="A697" s="259" t="s">
        <v>598</v>
      </c>
      <c r="B697" s="191" t="s">
        <v>8</v>
      </c>
      <c r="C697" s="4" t="s">
        <v>8</v>
      </c>
      <c r="D697" s="291" t="s">
        <v>599</v>
      </c>
      <c r="E697" s="325"/>
      <c r="F697" s="159">
        <f>F698</f>
        <v>295.2</v>
      </c>
      <c r="G697" s="306"/>
      <c r="H697" s="522">
        <f>H698</f>
        <v>295.2</v>
      </c>
      <c r="I697" s="522"/>
      <c r="J697" s="522">
        <f>J698</f>
        <v>295.2</v>
      </c>
      <c r="K697" s="522"/>
      <c r="L697" s="154"/>
      <c r="N697" s="154"/>
      <c r="O697" s="154"/>
    </row>
    <row r="698" spans="1:15" s="138" customFormat="1" x14ac:dyDescent="0.25">
      <c r="A698" s="253" t="s">
        <v>120</v>
      </c>
      <c r="B698" s="191" t="s">
        <v>8</v>
      </c>
      <c r="C698" s="4" t="s">
        <v>8</v>
      </c>
      <c r="D698" s="291" t="s">
        <v>599</v>
      </c>
      <c r="E698" s="326">
        <v>200</v>
      </c>
      <c r="F698" s="159">
        <f>F699</f>
        <v>295.2</v>
      </c>
      <c r="G698" s="306"/>
      <c r="H698" s="522">
        <f>H699</f>
        <v>295.2</v>
      </c>
      <c r="I698" s="522"/>
      <c r="J698" s="522">
        <f>J699</f>
        <v>295.2</v>
      </c>
      <c r="K698" s="522"/>
      <c r="L698" s="154"/>
      <c r="N698" s="154"/>
      <c r="O698" s="154"/>
    </row>
    <row r="699" spans="1:15" s="138" customFormat="1" ht="31.5" x14ac:dyDescent="0.25">
      <c r="A699" s="253" t="s">
        <v>52</v>
      </c>
      <c r="B699" s="191" t="s">
        <v>8</v>
      </c>
      <c r="C699" s="4" t="s">
        <v>8</v>
      </c>
      <c r="D699" s="291" t="s">
        <v>599</v>
      </c>
      <c r="E699" s="326">
        <v>240</v>
      </c>
      <c r="F699" s="159">
        <f>'ведом. 2025-2027'!AD354</f>
        <v>295.2</v>
      </c>
      <c r="G699" s="306"/>
      <c r="H699" s="522">
        <f>'ведом. 2025-2027'!AE354</f>
        <v>295.2</v>
      </c>
      <c r="I699" s="522"/>
      <c r="J699" s="522">
        <f>'ведом. 2025-2027'!AF354</f>
        <v>295.2</v>
      </c>
      <c r="K699" s="522"/>
      <c r="L699" s="154"/>
      <c r="N699" s="154"/>
      <c r="O699" s="154"/>
    </row>
    <row r="700" spans="1:15" s="138" customFormat="1" ht="31.5" x14ac:dyDescent="0.25">
      <c r="A700" s="255" t="s">
        <v>298</v>
      </c>
      <c r="B700" s="191" t="s">
        <v>8</v>
      </c>
      <c r="C700" s="4" t="s">
        <v>8</v>
      </c>
      <c r="D700" s="156" t="s">
        <v>132</v>
      </c>
      <c r="E700" s="326"/>
      <c r="F700" s="159">
        <f>F701+F712</f>
        <v>2731.1</v>
      </c>
      <c r="G700" s="522"/>
      <c r="H700" s="522">
        <f t="shared" ref="H700:J700" si="190">H701+H712</f>
        <v>1862.7</v>
      </c>
      <c r="I700" s="522"/>
      <c r="J700" s="522">
        <f t="shared" si="190"/>
        <v>1951.2</v>
      </c>
      <c r="K700" s="522"/>
      <c r="L700" s="154"/>
      <c r="N700" s="154"/>
      <c r="O700" s="154"/>
    </row>
    <row r="701" spans="1:15" s="138" customFormat="1" x14ac:dyDescent="0.25">
      <c r="A701" s="255" t="s">
        <v>307</v>
      </c>
      <c r="B701" s="11" t="s">
        <v>8</v>
      </c>
      <c r="C701" s="189" t="s">
        <v>8</v>
      </c>
      <c r="D701" s="156" t="s">
        <v>308</v>
      </c>
      <c r="E701" s="326"/>
      <c r="F701" s="159">
        <f>F702+F708</f>
        <v>2581.1</v>
      </c>
      <c r="G701" s="159"/>
      <c r="H701" s="522">
        <f>H702+H708</f>
        <v>1862.7</v>
      </c>
      <c r="I701" s="522"/>
      <c r="J701" s="522">
        <f>J702+J708</f>
        <v>1951.2</v>
      </c>
      <c r="K701" s="522"/>
      <c r="L701" s="154"/>
      <c r="N701" s="154"/>
      <c r="O701" s="154"/>
    </row>
    <row r="702" spans="1:15" s="138" customFormat="1" x14ac:dyDescent="0.25">
      <c r="A702" s="272" t="s">
        <v>513</v>
      </c>
      <c r="B702" s="11" t="s">
        <v>8</v>
      </c>
      <c r="C702" s="189" t="s">
        <v>8</v>
      </c>
      <c r="D702" s="156" t="s">
        <v>309</v>
      </c>
      <c r="E702" s="326"/>
      <c r="F702" s="159">
        <f>F703</f>
        <v>1330.6</v>
      </c>
      <c r="G702" s="159"/>
      <c r="H702" s="522">
        <f>H703</f>
        <v>612.20000000000005</v>
      </c>
      <c r="I702" s="522"/>
      <c r="J702" s="522">
        <f>J703</f>
        <v>700.7</v>
      </c>
      <c r="K702" s="522"/>
      <c r="L702" s="154"/>
      <c r="N702" s="154"/>
      <c r="O702" s="154"/>
    </row>
    <row r="703" spans="1:15" s="138" customFormat="1" ht="36" customHeight="1" x14ac:dyDescent="0.25">
      <c r="A703" s="278" t="s">
        <v>775</v>
      </c>
      <c r="B703" s="191" t="s">
        <v>8</v>
      </c>
      <c r="C703" s="4" t="s">
        <v>8</v>
      </c>
      <c r="D703" s="156" t="s">
        <v>310</v>
      </c>
      <c r="E703" s="326"/>
      <c r="F703" s="159">
        <f>F704+F706</f>
        <v>1330.6</v>
      </c>
      <c r="G703" s="522"/>
      <c r="H703" s="522">
        <f t="shared" ref="H703:J703" si="191">H704+H706</f>
        <v>612.20000000000005</v>
      </c>
      <c r="I703" s="522"/>
      <c r="J703" s="522">
        <f t="shared" si="191"/>
        <v>700.7</v>
      </c>
      <c r="K703" s="522"/>
      <c r="L703" s="154"/>
      <c r="N703" s="154"/>
      <c r="O703" s="154"/>
    </row>
    <row r="704" spans="1:15" s="138" customFormat="1" x14ac:dyDescent="0.25">
      <c r="A704" s="253" t="s">
        <v>120</v>
      </c>
      <c r="B704" s="11" t="s">
        <v>8</v>
      </c>
      <c r="C704" s="189" t="s">
        <v>8</v>
      </c>
      <c r="D704" s="156" t="s">
        <v>310</v>
      </c>
      <c r="E704" s="326">
        <v>200</v>
      </c>
      <c r="F704" s="159">
        <f>F705</f>
        <v>679.99999999999989</v>
      </c>
      <c r="G704" s="351"/>
      <c r="H704" s="522">
        <f>H705</f>
        <v>450.00000000000006</v>
      </c>
      <c r="I704" s="163"/>
      <c r="J704" s="522">
        <f>J705</f>
        <v>450.00000000000006</v>
      </c>
      <c r="K704" s="163"/>
      <c r="L704" s="154"/>
      <c r="N704" s="154"/>
      <c r="O704" s="154"/>
    </row>
    <row r="705" spans="1:15" s="138" customFormat="1" ht="31.5" x14ac:dyDescent="0.25">
      <c r="A705" s="253" t="s">
        <v>52</v>
      </c>
      <c r="B705" s="11" t="s">
        <v>8</v>
      </c>
      <c r="C705" s="189" t="s">
        <v>8</v>
      </c>
      <c r="D705" s="156" t="s">
        <v>310</v>
      </c>
      <c r="E705" s="326">
        <v>240</v>
      </c>
      <c r="F705" s="159">
        <f>'ведом. 2025-2027'!AD360</f>
        <v>679.99999999999989</v>
      </c>
      <c r="G705" s="306"/>
      <c r="H705" s="522">
        <f>'ведом. 2025-2027'!AE360</f>
        <v>450.00000000000006</v>
      </c>
      <c r="I705" s="522"/>
      <c r="J705" s="522">
        <f>'ведом. 2025-2027'!AF360</f>
        <v>450.00000000000006</v>
      </c>
      <c r="K705" s="522"/>
      <c r="L705" s="154"/>
      <c r="N705" s="154"/>
      <c r="O705" s="154"/>
    </row>
    <row r="706" spans="1:15" s="519" customFormat="1" ht="31.5" x14ac:dyDescent="0.25">
      <c r="A706" s="479" t="s">
        <v>60</v>
      </c>
      <c r="B706" s="474" t="s">
        <v>8</v>
      </c>
      <c r="C706" s="474" t="s">
        <v>8</v>
      </c>
      <c r="D706" s="542" t="s">
        <v>310</v>
      </c>
      <c r="E706" s="454">
        <v>600</v>
      </c>
      <c r="F706" s="522">
        <f>F707</f>
        <v>650.6</v>
      </c>
      <c r="G706" s="522"/>
      <c r="H706" s="522">
        <f t="shared" ref="H706:J706" si="192">H707</f>
        <v>162.19999999999999</v>
      </c>
      <c r="I706" s="522"/>
      <c r="J706" s="522">
        <f t="shared" si="192"/>
        <v>250.7</v>
      </c>
      <c r="K706" s="522"/>
      <c r="L706" s="521"/>
      <c r="N706" s="521"/>
      <c r="O706" s="521"/>
    </row>
    <row r="707" spans="1:15" s="519" customFormat="1" x14ac:dyDescent="0.25">
      <c r="A707" s="479" t="s">
        <v>61</v>
      </c>
      <c r="B707" s="474" t="s">
        <v>8</v>
      </c>
      <c r="C707" s="474" t="s">
        <v>8</v>
      </c>
      <c r="D707" s="542" t="s">
        <v>310</v>
      </c>
      <c r="E707" s="454">
        <v>610</v>
      </c>
      <c r="F707" s="522">
        <f>'ведом. 2025-2027'!AD362</f>
        <v>650.6</v>
      </c>
      <c r="G707" s="524"/>
      <c r="H707" s="522">
        <f>'ведом. 2025-2027'!AE362</f>
        <v>162.19999999999999</v>
      </c>
      <c r="I707" s="522"/>
      <c r="J707" s="522">
        <f>'ведом. 2025-2027'!AF362</f>
        <v>250.7</v>
      </c>
      <c r="K707" s="522"/>
      <c r="L707" s="521"/>
      <c r="N707" s="521"/>
      <c r="O707" s="521"/>
    </row>
    <row r="708" spans="1:15" s="177" customFormat="1" ht="63" x14ac:dyDescent="0.25">
      <c r="A708" s="376" t="s">
        <v>579</v>
      </c>
      <c r="B708" s="11" t="s">
        <v>8</v>
      </c>
      <c r="C708" s="189" t="s">
        <v>8</v>
      </c>
      <c r="D708" s="309" t="s">
        <v>580</v>
      </c>
      <c r="E708" s="326"/>
      <c r="F708" s="159">
        <f>F709</f>
        <v>1250.5</v>
      </c>
      <c r="G708" s="306"/>
      <c r="H708" s="522">
        <f>H709</f>
        <v>1250.5</v>
      </c>
      <c r="I708" s="522"/>
      <c r="J708" s="522">
        <f>J709</f>
        <v>1250.5</v>
      </c>
      <c r="K708" s="522"/>
      <c r="L708" s="154"/>
      <c r="N708" s="154"/>
      <c r="O708" s="154"/>
    </row>
    <row r="709" spans="1:15" s="177" customFormat="1" ht="33.75" customHeight="1" x14ac:dyDescent="0.25">
      <c r="A709" s="376" t="s">
        <v>776</v>
      </c>
      <c r="B709" s="11" t="s">
        <v>8</v>
      </c>
      <c r="C709" s="189" t="s">
        <v>8</v>
      </c>
      <c r="D709" s="309" t="s">
        <v>581</v>
      </c>
      <c r="E709" s="326"/>
      <c r="F709" s="159">
        <f>F710</f>
        <v>1250.5</v>
      </c>
      <c r="G709" s="306"/>
      <c r="H709" s="522">
        <f>H710</f>
        <v>1250.5</v>
      </c>
      <c r="I709" s="522"/>
      <c r="J709" s="522">
        <f>J710</f>
        <v>1250.5</v>
      </c>
      <c r="K709" s="522"/>
      <c r="L709" s="154"/>
      <c r="N709" s="154"/>
      <c r="O709" s="154"/>
    </row>
    <row r="710" spans="1:15" s="177" customFormat="1" ht="31.5" x14ac:dyDescent="0.25">
      <c r="A710" s="375" t="s">
        <v>60</v>
      </c>
      <c r="B710" s="11" t="s">
        <v>8</v>
      </c>
      <c r="C710" s="189" t="s">
        <v>8</v>
      </c>
      <c r="D710" s="309" t="s">
        <v>581</v>
      </c>
      <c r="E710" s="326">
        <v>600</v>
      </c>
      <c r="F710" s="159">
        <f>F711</f>
        <v>1250.5</v>
      </c>
      <c r="G710" s="306"/>
      <c r="H710" s="522">
        <f>H711</f>
        <v>1250.5</v>
      </c>
      <c r="I710" s="522"/>
      <c r="J710" s="522">
        <f>J711</f>
        <v>1250.5</v>
      </c>
      <c r="K710" s="522"/>
      <c r="L710" s="154"/>
      <c r="N710" s="154"/>
      <c r="O710" s="154"/>
    </row>
    <row r="711" spans="1:15" s="177" customFormat="1" x14ac:dyDescent="0.25">
      <c r="A711" s="375" t="s">
        <v>61</v>
      </c>
      <c r="B711" s="11" t="s">
        <v>8</v>
      </c>
      <c r="C711" s="189" t="s">
        <v>8</v>
      </c>
      <c r="D711" s="309" t="s">
        <v>581</v>
      </c>
      <c r="E711" s="326">
        <v>610</v>
      </c>
      <c r="F711" s="159">
        <f>'ведом. 2025-2027'!AD745</f>
        <v>1250.5</v>
      </c>
      <c r="G711" s="306"/>
      <c r="H711" s="522">
        <f>'ведом. 2025-2027'!AE745</f>
        <v>1250.5</v>
      </c>
      <c r="I711" s="522"/>
      <c r="J711" s="522">
        <f>'ведом. 2025-2027'!AF745</f>
        <v>1250.5</v>
      </c>
      <c r="K711" s="522"/>
      <c r="L711" s="154"/>
      <c r="N711" s="154"/>
      <c r="O711" s="154"/>
    </row>
    <row r="712" spans="1:15" s="519" customFormat="1" ht="31.5" x14ac:dyDescent="0.25">
      <c r="A712" s="451" t="s">
        <v>814</v>
      </c>
      <c r="B712" s="474" t="s">
        <v>8</v>
      </c>
      <c r="C712" s="474" t="s">
        <v>8</v>
      </c>
      <c r="D712" s="543" t="s">
        <v>818</v>
      </c>
      <c r="E712" s="454"/>
      <c r="F712" s="522">
        <f>F713</f>
        <v>150</v>
      </c>
      <c r="G712" s="522"/>
      <c r="H712" s="522">
        <f t="shared" ref="H712:J715" si="193">H713</f>
        <v>0</v>
      </c>
      <c r="I712" s="522"/>
      <c r="J712" s="522">
        <f t="shared" si="193"/>
        <v>0</v>
      </c>
      <c r="K712" s="522"/>
      <c r="L712" s="521"/>
      <c r="N712" s="521"/>
      <c r="O712" s="521"/>
    </row>
    <row r="713" spans="1:15" s="519" customFormat="1" ht="31.5" x14ac:dyDescent="0.25">
      <c r="A713" s="451" t="s">
        <v>813</v>
      </c>
      <c r="B713" s="453" t="s">
        <v>8</v>
      </c>
      <c r="C713" s="453" t="s">
        <v>8</v>
      </c>
      <c r="D713" s="543" t="s">
        <v>817</v>
      </c>
      <c r="E713" s="454"/>
      <c r="F713" s="522">
        <f>F714</f>
        <v>150</v>
      </c>
      <c r="G713" s="522"/>
      <c r="H713" s="522">
        <f t="shared" si="193"/>
        <v>0</v>
      </c>
      <c r="I713" s="522"/>
      <c r="J713" s="522">
        <f t="shared" si="193"/>
        <v>0</v>
      </c>
      <c r="K713" s="522"/>
      <c r="L713" s="521"/>
      <c r="N713" s="521"/>
      <c r="O713" s="521"/>
    </row>
    <row r="714" spans="1:15" s="519" customFormat="1" x14ac:dyDescent="0.25">
      <c r="A714" s="451" t="s">
        <v>815</v>
      </c>
      <c r="B714" s="474" t="s">
        <v>8</v>
      </c>
      <c r="C714" s="474" t="s">
        <v>8</v>
      </c>
      <c r="D714" s="543" t="s">
        <v>816</v>
      </c>
      <c r="E714" s="454"/>
      <c r="F714" s="522">
        <f>F715</f>
        <v>150</v>
      </c>
      <c r="G714" s="522"/>
      <c r="H714" s="522">
        <f t="shared" si="193"/>
        <v>0</v>
      </c>
      <c r="I714" s="522"/>
      <c r="J714" s="522">
        <f t="shared" si="193"/>
        <v>0</v>
      </c>
      <c r="K714" s="522"/>
      <c r="L714" s="521"/>
      <c r="N714" s="521"/>
      <c r="O714" s="521"/>
    </row>
    <row r="715" spans="1:15" s="519" customFormat="1" ht="31.5" x14ac:dyDescent="0.25">
      <c r="A715" s="451" t="s">
        <v>60</v>
      </c>
      <c r="B715" s="474" t="s">
        <v>8</v>
      </c>
      <c r="C715" s="474" t="s">
        <v>8</v>
      </c>
      <c r="D715" s="543" t="s">
        <v>816</v>
      </c>
      <c r="E715" s="454">
        <v>600</v>
      </c>
      <c r="F715" s="522">
        <f>F716</f>
        <v>150</v>
      </c>
      <c r="G715" s="522"/>
      <c r="H715" s="522">
        <f t="shared" si="193"/>
        <v>0</v>
      </c>
      <c r="I715" s="522"/>
      <c r="J715" s="522">
        <f t="shared" si="193"/>
        <v>0</v>
      </c>
      <c r="K715" s="522"/>
      <c r="L715" s="521"/>
      <c r="N715" s="521"/>
      <c r="O715" s="521"/>
    </row>
    <row r="716" spans="1:15" s="519" customFormat="1" x14ac:dyDescent="0.25">
      <c r="A716" s="451" t="s">
        <v>61</v>
      </c>
      <c r="B716" s="474" t="s">
        <v>8</v>
      </c>
      <c r="C716" s="474" t="s">
        <v>8</v>
      </c>
      <c r="D716" s="543" t="s">
        <v>816</v>
      </c>
      <c r="E716" s="454">
        <v>610</v>
      </c>
      <c r="F716" s="522">
        <v>150</v>
      </c>
      <c r="G716" s="524"/>
      <c r="H716" s="522">
        <v>0</v>
      </c>
      <c r="I716" s="522"/>
      <c r="J716" s="522">
        <v>0</v>
      </c>
      <c r="K716" s="522"/>
      <c r="L716" s="521"/>
      <c r="N716" s="521"/>
      <c r="O716" s="521"/>
    </row>
    <row r="717" spans="1:15" s="138" customFormat="1" x14ac:dyDescent="0.25">
      <c r="A717" s="375" t="s">
        <v>38</v>
      </c>
      <c r="B717" s="191" t="s">
        <v>8</v>
      </c>
      <c r="C717" s="4" t="s">
        <v>22</v>
      </c>
      <c r="D717" s="26"/>
      <c r="E717" s="326"/>
      <c r="F717" s="159">
        <f t="shared" ref="F717:K717" si="194">F718+F734+F748</f>
        <v>34566.100000000006</v>
      </c>
      <c r="G717" s="306">
        <f t="shared" si="194"/>
        <v>4061</v>
      </c>
      <c r="H717" s="522">
        <f t="shared" si="194"/>
        <v>33009.100000000006</v>
      </c>
      <c r="I717" s="522">
        <f t="shared" si="194"/>
        <v>4229</v>
      </c>
      <c r="J717" s="522">
        <f t="shared" si="194"/>
        <v>33066.100000000006</v>
      </c>
      <c r="K717" s="522">
        <f t="shared" si="194"/>
        <v>4262</v>
      </c>
      <c r="L717" s="154"/>
      <c r="N717" s="154"/>
      <c r="O717" s="154"/>
    </row>
    <row r="718" spans="1:15" s="138" customFormat="1" x14ac:dyDescent="0.25">
      <c r="A718" s="385" t="s">
        <v>262</v>
      </c>
      <c r="B718" s="191" t="s">
        <v>8</v>
      </c>
      <c r="C718" s="4" t="s">
        <v>22</v>
      </c>
      <c r="D718" s="26" t="s">
        <v>100</v>
      </c>
      <c r="E718" s="325"/>
      <c r="F718" s="159">
        <f>F719</f>
        <v>26653.100000000002</v>
      </c>
      <c r="G718" s="159"/>
      <c r="H718" s="522">
        <f>H719</f>
        <v>25755.100000000002</v>
      </c>
      <c r="I718" s="522"/>
      <c r="J718" s="522">
        <f>J719</f>
        <v>25755.100000000002</v>
      </c>
      <c r="K718" s="522"/>
      <c r="L718" s="154"/>
      <c r="N718" s="154"/>
      <c r="O718" s="154"/>
    </row>
    <row r="719" spans="1:15" s="138" customFormat="1" x14ac:dyDescent="0.25">
      <c r="A719" s="255" t="s">
        <v>48</v>
      </c>
      <c r="B719" s="191" t="s">
        <v>8</v>
      </c>
      <c r="C719" s="4" t="s">
        <v>22</v>
      </c>
      <c r="D719" s="156" t="s">
        <v>483</v>
      </c>
      <c r="E719" s="326"/>
      <c r="F719" s="159">
        <f>F720</f>
        <v>26653.100000000002</v>
      </c>
      <c r="G719" s="306"/>
      <c r="H719" s="522">
        <f>H720</f>
        <v>25755.100000000002</v>
      </c>
      <c r="I719" s="522"/>
      <c r="J719" s="522">
        <f>J720</f>
        <v>25755.100000000002</v>
      </c>
      <c r="K719" s="522"/>
      <c r="L719" s="154"/>
      <c r="N719" s="154"/>
      <c r="O719" s="154"/>
    </row>
    <row r="720" spans="1:15" s="138" customFormat="1" ht="31.5" x14ac:dyDescent="0.25">
      <c r="A720" s="255" t="s">
        <v>269</v>
      </c>
      <c r="B720" s="191" t="s">
        <v>8</v>
      </c>
      <c r="C720" s="4" t="s">
        <v>22</v>
      </c>
      <c r="D720" s="156" t="s">
        <v>484</v>
      </c>
      <c r="E720" s="326"/>
      <c r="F720" s="159">
        <f>F721+F731</f>
        <v>26653.100000000002</v>
      </c>
      <c r="G720" s="306"/>
      <c r="H720" s="522">
        <f>H721+H731</f>
        <v>25755.100000000002</v>
      </c>
      <c r="I720" s="522"/>
      <c r="J720" s="522">
        <f>J721+J731</f>
        <v>25755.100000000002</v>
      </c>
      <c r="K720" s="522"/>
      <c r="L720" s="154"/>
      <c r="N720" s="154"/>
      <c r="O720" s="154"/>
    </row>
    <row r="721" spans="1:15" s="138" customFormat="1" x14ac:dyDescent="0.25">
      <c r="A721" s="256" t="s">
        <v>205</v>
      </c>
      <c r="B721" s="191" t="s">
        <v>8</v>
      </c>
      <c r="C721" s="4" t="s">
        <v>22</v>
      </c>
      <c r="D721" s="156" t="s">
        <v>485</v>
      </c>
      <c r="E721" s="326"/>
      <c r="F721" s="159">
        <f>F722+F725+F728</f>
        <v>26465.200000000001</v>
      </c>
      <c r="G721" s="306"/>
      <c r="H721" s="522">
        <f>H722+H725+H728</f>
        <v>25567.200000000001</v>
      </c>
      <c r="I721" s="522"/>
      <c r="J721" s="522">
        <f>J722+J725+J728</f>
        <v>25567.200000000001</v>
      </c>
      <c r="K721" s="522"/>
      <c r="L721" s="154"/>
      <c r="N721" s="154"/>
      <c r="O721" s="154"/>
    </row>
    <row r="722" spans="1:15" s="138" customFormat="1" ht="31.5" x14ac:dyDescent="0.25">
      <c r="A722" s="375" t="s">
        <v>206</v>
      </c>
      <c r="B722" s="191" t="s">
        <v>8</v>
      </c>
      <c r="C722" s="4" t="s">
        <v>22</v>
      </c>
      <c r="D722" s="156" t="s">
        <v>486</v>
      </c>
      <c r="E722" s="326"/>
      <c r="F722" s="159">
        <f>F723</f>
        <v>1485.2</v>
      </c>
      <c r="G722" s="522"/>
      <c r="H722" s="522">
        <f t="shared" ref="H722:J722" si="195">H723</f>
        <v>1485.2</v>
      </c>
      <c r="I722" s="522"/>
      <c r="J722" s="522">
        <f t="shared" si="195"/>
        <v>1485.2</v>
      </c>
      <c r="K722" s="522"/>
      <c r="L722" s="154"/>
      <c r="N722" s="154"/>
      <c r="O722" s="154"/>
    </row>
    <row r="723" spans="1:15" s="138" customFormat="1" x14ac:dyDescent="0.25">
      <c r="A723" s="375" t="s">
        <v>120</v>
      </c>
      <c r="B723" s="191" t="s">
        <v>8</v>
      </c>
      <c r="C723" s="4" t="s">
        <v>22</v>
      </c>
      <c r="D723" s="156" t="s">
        <v>486</v>
      </c>
      <c r="E723" s="326">
        <v>200</v>
      </c>
      <c r="F723" s="159">
        <f>F724</f>
        <v>1485.2</v>
      </c>
      <c r="G723" s="306"/>
      <c r="H723" s="522">
        <f>H724</f>
        <v>1485.2</v>
      </c>
      <c r="I723" s="522"/>
      <c r="J723" s="522">
        <f>J724</f>
        <v>1485.2</v>
      </c>
      <c r="K723" s="522"/>
      <c r="L723" s="154"/>
      <c r="N723" s="154"/>
      <c r="O723" s="154"/>
    </row>
    <row r="724" spans="1:15" s="138" customFormat="1" ht="20.25" customHeight="1" x14ac:dyDescent="0.25">
      <c r="A724" s="375" t="s">
        <v>52</v>
      </c>
      <c r="B724" s="191" t="s">
        <v>8</v>
      </c>
      <c r="C724" s="4" t="s">
        <v>22</v>
      </c>
      <c r="D724" s="156" t="s">
        <v>486</v>
      </c>
      <c r="E724" s="326">
        <v>240</v>
      </c>
      <c r="F724" s="159">
        <f>'ведом. 2025-2027'!AD753</f>
        <v>1485.2</v>
      </c>
      <c r="G724" s="306"/>
      <c r="H724" s="522">
        <f>'ведом. 2025-2027'!AE753</f>
        <v>1485.2</v>
      </c>
      <c r="I724" s="522"/>
      <c r="J724" s="522">
        <f>'ведом. 2025-2027'!AF753</f>
        <v>1485.2</v>
      </c>
      <c r="K724" s="522"/>
      <c r="L724" s="154"/>
      <c r="N724" s="154"/>
      <c r="O724" s="154"/>
    </row>
    <row r="725" spans="1:15" s="138" customFormat="1" ht="31.5" x14ac:dyDescent="0.25">
      <c r="A725" s="273" t="s">
        <v>350</v>
      </c>
      <c r="B725" s="191" t="s">
        <v>8</v>
      </c>
      <c r="C725" s="4" t="s">
        <v>22</v>
      </c>
      <c r="D725" s="156" t="s">
        <v>487</v>
      </c>
      <c r="E725" s="326"/>
      <c r="F725" s="159">
        <f>F726</f>
        <v>11514.6</v>
      </c>
      <c r="G725" s="306"/>
      <c r="H725" s="522">
        <f>H726</f>
        <v>10616.6</v>
      </c>
      <c r="I725" s="522"/>
      <c r="J725" s="522">
        <f>J726</f>
        <v>10616.6</v>
      </c>
      <c r="K725" s="522"/>
      <c r="L725" s="154"/>
      <c r="N725" s="154"/>
      <c r="O725" s="154"/>
    </row>
    <row r="726" spans="1:15" s="138" customFormat="1" ht="47.25" x14ac:dyDescent="0.25">
      <c r="A726" s="375" t="s">
        <v>41</v>
      </c>
      <c r="B726" s="191" t="s">
        <v>8</v>
      </c>
      <c r="C726" s="4" t="s">
        <v>22</v>
      </c>
      <c r="D726" s="156" t="s">
        <v>487</v>
      </c>
      <c r="E726" s="326">
        <v>100</v>
      </c>
      <c r="F726" s="159">
        <f>F727</f>
        <v>11514.6</v>
      </c>
      <c r="G726" s="306"/>
      <c r="H726" s="522">
        <f>H727</f>
        <v>10616.6</v>
      </c>
      <c r="I726" s="522"/>
      <c r="J726" s="522">
        <f>J727</f>
        <v>10616.6</v>
      </c>
      <c r="K726" s="522"/>
      <c r="L726" s="154"/>
      <c r="N726" s="154"/>
      <c r="O726" s="154"/>
    </row>
    <row r="727" spans="1:15" s="138" customFormat="1" x14ac:dyDescent="0.25">
      <c r="A727" s="375" t="s">
        <v>96</v>
      </c>
      <c r="B727" s="191" t="s">
        <v>8</v>
      </c>
      <c r="C727" s="4" t="s">
        <v>22</v>
      </c>
      <c r="D727" s="156" t="s">
        <v>487</v>
      </c>
      <c r="E727" s="326">
        <v>120</v>
      </c>
      <c r="F727" s="159">
        <f>'ведом. 2025-2027'!AD756</f>
        <v>11514.6</v>
      </c>
      <c r="G727" s="306"/>
      <c r="H727" s="522">
        <f>'ведом. 2025-2027'!AE756</f>
        <v>10616.6</v>
      </c>
      <c r="I727" s="522"/>
      <c r="J727" s="522">
        <f>'ведом. 2025-2027'!AF756</f>
        <v>10616.6</v>
      </c>
      <c r="K727" s="522"/>
      <c r="L727" s="154"/>
      <c r="N727" s="154"/>
      <c r="O727" s="154"/>
    </row>
    <row r="728" spans="1:15" s="138" customFormat="1" ht="31.5" x14ac:dyDescent="0.25">
      <c r="A728" s="375" t="s">
        <v>270</v>
      </c>
      <c r="B728" s="191" t="s">
        <v>8</v>
      </c>
      <c r="C728" s="4" t="s">
        <v>22</v>
      </c>
      <c r="D728" s="156" t="s">
        <v>488</v>
      </c>
      <c r="E728" s="326"/>
      <c r="F728" s="167">
        <f>F729</f>
        <v>13465.4</v>
      </c>
      <c r="G728" s="306"/>
      <c r="H728" s="167">
        <f>H729</f>
        <v>13465.4</v>
      </c>
      <c r="I728" s="522"/>
      <c r="J728" s="167">
        <f>J729</f>
        <v>13465.4</v>
      </c>
      <c r="K728" s="522"/>
      <c r="L728" s="154"/>
      <c r="N728" s="154"/>
      <c r="O728" s="154"/>
    </row>
    <row r="729" spans="1:15" s="138" customFormat="1" ht="47.25" x14ac:dyDescent="0.25">
      <c r="A729" s="375" t="s">
        <v>41</v>
      </c>
      <c r="B729" s="191" t="s">
        <v>8</v>
      </c>
      <c r="C729" s="4" t="s">
        <v>22</v>
      </c>
      <c r="D729" s="156" t="s">
        <v>488</v>
      </c>
      <c r="E729" s="326">
        <v>100</v>
      </c>
      <c r="F729" s="159">
        <f>F730</f>
        <v>13465.4</v>
      </c>
      <c r="G729" s="306"/>
      <c r="H729" s="522">
        <f>H730</f>
        <v>13465.4</v>
      </c>
      <c r="I729" s="522"/>
      <c r="J729" s="522">
        <f>J730</f>
        <v>13465.4</v>
      </c>
      <c r="K729" s="522"/>
      <c r="L729" s="154"/>
      <c r="N729" s="154"/>
      <c r="O729" s="154"/>
    </row>
    <row r="730" spans="1:15" s="138" customFormat="1" x14ac:dyDescent="0.25">
      <c r="A730" s="375" t="s">
        <v>96</v>
      </c>
      <c r="B730" s="191" t="s">
        <v>8</v>
      </c>
      <c r="C730" s="4" t="s">
        <v>22</v>
      </c>
      <c r="D730" s="156" t="s">
        <v>488</v>
      </c>
      <c r="E730" s="326">
        <v>120</v>
      </c>
      <c r="F730" s="159">
        <f>'ведом. 2025-2027'!AD759</f>
        <v>13465.4</v>
      </c>
      <c r="G730" s="306"/>
      <c r="H730" s="522">
        <f>'ведом. 2025-2027'!AE759</f>
        <v>13465.4</v>
      </c>
      <c r="I730" s="522"/>
      <c r="J730" s="522">
        <f>'ведом. 2025-2027'!AF759</f>
        <v>13465.4</v>
      </c>
      <c r="K730" s="522"/>
      <c r="L730" s="154"/>
      <c r="N730" s="154"/>
      <c r="O730" s="154"/>
    </row>
    <row r="731" spans="1:15" s="138" customFormat="1" x14ac:dyDescent="0.25">
      <c r="A731" s="375" t="s">
        <v>271</v>
      </c>
      <c r="B731" s="191" t="s">
        <v>8</v>
      </c>
      <c r="C731" s="4" t="s">
        <v>22</v>
      </c>
      <c r="D731" s="156" t="s">
        <v>489</v>
      </c>
      <c r="E731" s="326"/>
      <c r="F731" s="159">
        <f>F732</f>
        <v>187.9</v>
      </c>
      <c r="G731" s="306"/>
      <c r="H731" s="522">
        <f>H732</f>
        <v>187.9</v>
      </c>
      <c r="I731" s="522"/>
      <c r="J731" s="522">
        <f>J732</f>
        <v>187.9</v>
      </c>
      <c r="K731" s="522"/>
      <c r="L731" s="154"/>
      <c r="N731" s="154"/>
      <c r="O731" s="154"/>
    </row>
    <row r="732" spans="1:15" s="138" customFormat="1" x14ac:dyDescent="0.25">
      <c r="A732" s="375" t="s">
        <v>120</v>
      </c>
      <c r="B732" s="191" t="s">
        <v>8</v>
      </c>
      <c r="C732" s="4" t="s">
        <v>22</v>
      </c>
      <c r="D732" s="156" t="s">
        <v>489</v>
      </c>
      <c r="E732" s="326">
        <v>200</v>
      </c>
      <c r="F732" s="159">
        <f>F733</f>
        <v>187.9</v>
      </c>
      <c r="G732" s="306"/>
      <c r="H732" s="522">
        <f>H733</f>
        <v>187.9</v>
      </c>
      <c r="I732" s="522"/>
      <c r="J732" s="522">
        <f>J733</f>
        <v>187.9</v>
      </c>
      <c r="K732" s="522"/>
      <c r="L732" s="154"/>
      <c r="N732" s="154"/>
      <c r="O732" s="154"/>
    </row>
    <row r="733" spans="1:15" s="138" customFormat="1" ht="31.5" x14ac:dyDescent="0.25">
      <c r="A733" s="375" t="s">
        <v>52</v>
      </c>
      <c r="B733" s="191" t="s">
        <v>8</v>
      </c>
      <c r="C733" s="4" t="s">
        <v>22</v>
      </c>
      <c r="D733" s="156" t="s">
        <v>489</v>
      </c>
      <c r="E733" s="326">
        <v>240</v>
      </c>
      <c r="F733" s="159">
        <f>'ведом. 2025-2027'!AD762</f>
        <v>187.9</v>
      </c>
      <c r="G733" s="306"/>
      <c r="H733" s="522">
        <f>'ведом. 2025-2027'!AE762</f>
        <v>187.9</v>
      </c>
      <c r="I733" s="522"/>
      <c r="J733" s="522">
        <f>'ведом. 2025-2027'!AF762</f>
        <v>187.9</v>
      </c>
      <c r="K733" s="522"/>
      <c r="L733" s="154"/>
      <c r="N733" s="154"/>
      <c r="O733" s="154"/>
    </row>
    <row r="734" spans="1:15" s="138" customFormat="1" x14ac:dyDescent="0.25">
      <c r="A734" s="255" t="s">
        <v>292</v>
      </c>
      <c r="B734" s="191" t="s">
        <v>8</v>
      </c>
      <c r="C734" s="4" t="s">
        <v>22</v>
      </c>
      <c r="D734" s="156" t="s">
        <v>109</v>
      </c>
      <c r="E734" s="326"/>
      <c r="F734" s="159">
        <f t="shared" ref="F734:K736" si="196">F735</f>
        <v>6966</v>
      </c>
      <c r="G734" s="306">
        <f t="shared" si="196"/>
        <v>4061</v>
      </c>
      <c r="H734" s="522">
        <f t="shared" si="196"/>
        <v>7254</v>
      </c>
      <c r="I734" s="522">
        <f t="shared" si="196"/>
        <v>4229</v>
      </c>
      <c r="J734" s="522">
        <f t="shared" si="196"/>
        <v>7311</v>
      </c>
      <c r="K734" s="522">
        <f t="shared" si="196"/>
        <v>4262</v>
      </c>
      <c r="L734" s="154"/>
      <c r="N734" s="154"/>
      <c r="O734" s="154"/>
    </row>
    <row r="735" spans="1:15" s="138" customFormat="1" x14ac:dyDescent="0.25">
      <c r="A735" s="255" t="s">
        <v>296</v>
      </c>
      <c r="B735" s="191" t="s">
        <v>8</v>
      </c>
      <c r="C735" s="4" t="s">
        <v>22</v>
      </c>
      <c r="D735" s="156" t="s">
        <v>110</v>
      </c>
      <c r="E735" s="326"/>
      <c r="F735" s="159">
        <f t="shared" si="196"/>
        <v>6966</v>
      </c>
      <c r="G735" s="306">
        <f t="shared" si="196"/>
        <v>4061</v>
      </c>
      <c r="H735" s="522">
        <f t="shared" si="196"/>
        <v>7254</v>
      </c>
      <c r="I735" s="522">
        <f t="shared" si="196"/>
        <v>4229</v>
      </c>
      <c r="J735" s="522">
        <f t="shared" si="196"/>
        <v>7311</v>
      </c>
      <c r="K735" s="522">
        <f t="shared" si="196"/>
        <v>4262</v>
      </c>
      <c r="L735" s="154"/>
      <c r="N735" s="154"/>
      <c r="O735" s="154"/>
    </row>
    <row r="736" spans="1:15" s="138" customFormat="1" x14ac:dyDescent="0.25">
      <c r="A736" s="278" t="s">
        <v>514</v>
      </c>
      <c r="B736" s="191" t="s">
        <v>8</v>
      </c>
      <c r="C736" s="4" t="s">
        <v>22</v>
      </c>
      <c r="D736" s="156" t="s">
        <v>503</v>
      </c>
      <c r="E736" s="326"/>
      <c r="F736" s="159">
        <f>F737</f>
        <v>6966</v>
      </c>
      <c r="G736" s="306">
        <f t="shared" si="196"/>
        <v>4061</v>
      </c>
      <c r="H736" s="522">
        <f t="shared" si="196"/>
        <v>7254</v>
      </c>
      <c r="I736" s="522">
        <f t="shared" si="196"/>
        <v>4229</v>
      </c>
      <c r="J736" s="522">
        <f t="shared" si="196"/>
        <v>7311</v>
      </c>
      <c r="K736" s="522">
        <f t="shared" si="196"/>
        <v>4262</v>
      </c>
      <c r="L736" s="154"/>
      <c r="N736" s="154"/>
      <c r="O736" s="154"/>
    </row>
    <row r="737" spans="1:15" s="138" customFormat="1" x14ac:dyDescent="0.25">
      <c r="A737" s="278" t="s">
        <v>297</v>
      </c>
      <c r="B737" s="191" t="s">
        <v>8</v>
      </c>
      <c r="C737" s="4" t="s">
        <v>22</v>
      </c>
      <c r="D737" s="156" t="s">
        <v>505</v>
      </c>
      <c r="E737" s="326"/>
      <c r="F737" s="159">
        <f t="shared" ref="F737:K737" si="197">F738+F745</f>
        <v>6966</v>
      </c>
      <c r="G737" s="306">
        <f t="shared" si="197"/>
        <v>4061</v>
      </c>
      <c r="H737" s="522">
        <f t="shared" si="197"/>
        <v>7254</v>
      </c>
      <c r="I737" s="522">
        <f t="shared" si="197"/>
        <v>4229</v>
      </c>
      <c r="J737" s="522">
        <f t="shared" si="197"/>
        <v>7311</v>
      </c>
      <c r="K737" s="522">
        <f t="shared" si="197"/>
        <v>4262</v>
      </c>
      <c r="L737" s="154"/>
      <c r="M737" s="521"/>
      <c r="N737" s="154"/>
      <c r="O737" s="154"/>
    </row>
    <row r="738" spans="1:15" s="138" customFormat="1" ht="47.25" x14ac:dyDescent="0.25">
      <c r="A738" s="278" t="s">
        <v>317</v>
      </c>
      <c r="B738" s="191" t="s">
        <v>8</v>
      </c>
      <c r="C738" s="4" t="s">
        <v>22</v>
      </c>
      <c r="D738" s="156" t="s">
        <v>506</v>
      </c>
      <c r="E738" s="326"/>
      <c r="F738" s="159">
        <f t="shared" ref="F738:K738" si="198">F741+F739+F743</f>
        <v>5016</v>
      </c>
      <c r="G738" s="306">
        <f t="shared" si="198"/>
        <v>3261</v>
      </c>
      <c r="H738" s="522">
        <f t="shared" si="198"/>
        <v>5184</v>
      </c>
      <c r="I738" s="522">
        <f t="shared" si="198"/>
        <v>3379</v>
      </c>
      <c r="J738" s="522">
        <f t="shared" si="198"/>
        <v>5231</v>
      </c>
      <c r="K738" s="522">
        <f t="shared" si="198"/>
        <v>3412</v>
      </c>
      <c r="L738" s="154"/>
      <c r="N738" s="154"/>
      <c r="O738" s="154"/>
    </row>
    <row r="739" spans="1:15" s="177" customFormat="1" x14ac:dyDescent="0.25">
      <c r="A739" s="375" t="s">
        <v>120</v>
      </c>
      <c r="B739" s="191" t="s">
        <v>8</v>
      </c>
      <c r="C739" s="4" t="s">
        <v>22</v>
      </c>
      <c r="D739" s="156" t="s">
        <v>506</v>
      </c>
      <c r="E739" s="326">
        <v>200</v>
      </c>
      <c r="F739" s="159">
        <f t="shared" ref="F739:K739" si="199">F740</f>
        <v>2695.8</v>
      </c>
      <c r="G739" s="306">
        <f t="shared" si="199"/>
        <v>2550</v>
      </c>
      <c r="H739" s="522">
        <f t="shared" si="199"/>
        <v>2820</v>
      </c>
      <c r="I739" s="522">
        <f t="shared" si="199"/>
        <v>2650</v>
      </c>
      <c r="J739" s="522">
        <f t="shared" si="199"/>
        <v>2840</v>
      </c>
      <c r="K739" s="522">
        <f t="shared" si="199"/>
        <v>2670</v>
      </c>
      <c r="L739" s="154"/>
      <c r="N739" s="154"/>
      <c r="O739" s="154"/>
    </row>
    <row r="740" spans="1:15" s="177" customFormat="1" ht="31.5" x14ac:dyDescent="0.25">
      <c r="A740" s="375" t="s">
        <v>52</v>
      </c>
      <c r="B740" s="191" t="s">
        <v>8</v>
      </c>
      <c r="C740" s="4" t="s">
        <v>22</v>
      </c>
      <c r="D740" s="156" t="s">
        <v>506</v>
      </c>
      <c r="E740" s="326">
        <v>240</v>
      </c>
      <c r="F740" s="159">
        <f>'ведом. 2025-2027'!AD375</f>
        <v>2695.8</v>
      </c>
      <c r="G740" s="524">
        <f>2640-90</f>
        <v>2550</v>
      </c>
      <c r="H740" s="522">
        <f>'ведом. 2025-2027'!AE375</f>
        <v>2820</v>
      </c>
      <c r="I740" s="522">
        <v>2650</v>
      </c>
      <c r="J740" s="522">
        <f>'ведом. 2025-2027'!AF375</f>
        <v>2840</v>
      </c>
      <c r="K740" s="522">
        <v>2670</v>
      </c>
      <c r="L740" s="154"/>
      <c r="N740" s="154"/>
      <c r="O740" s="154"/>
    </row>
    <row r="741" spans="1:15" s="138" customFormat="1" x14ac:dyDescent="0.25">
      <c r="A741" s="375" t="s">
        <v>97</v>
      </c>
      <c r="B741" s="191" t="s">
        <v>8</v>
      </c>
      <c r="C741" s="4" t="s">
        <v>22</v>
      </c>
      <c r="D741" s="156" t="s">
        <v>506</v>
      </c>
      <c r="E741" s="326">
        <v>300</v>
      </c>
      <c r="F741" s="159">
        <f t="shared" ref="F741:J741" si="200">F742</f>
        <v>260</v>
      </c>
      <c r="G741" s="306"/>
      <c r="H741" s="522">
        <f t="shared" si="200"/>
        <v>220</v>
      </c>
      <c r="I741" s="522"/>
      <c r="J741" s="522">
        <f t="shared" si="200"/>
        <v>220</v>
      </c>
      <c r="K741" s="522"/>
      <c r="L741" s="154"/>
      <c r="N741" s="154"/>
      <c r="O741" s="154"/>
    </row>
    <row r="742" spans="1:15" s="138" customFormat="1" x14ac:dyDescent="0.25">
      <c r="A742" s="375" t="s">
        <v>40</v>
      </c>
      <c r="B742" s="191" t="s">
        <v>8</v>
      </c>
      <c r="C742" s="4" t="s">
        <v>22</v>
      </c>
      <c r="D742" s="156" t="s">
        <v>506</v>
      </c>
      <c r="E742" s="326">
        <v>320</v>
      </c>
      <c r="F742" s="159">
        <f>'ведом. 2025-2027'!AD377</f>
        <v>260</v>
      </c>
      <c r="G742" s="306"/>
      <c r="H742" s="522">
        <f>'ведом. 2025-2027'!AE377</f>
        <v>220</v>
      </c>
      <c r="I742" s="522"/>
      <c r="J742" s="522">
        <f>'ведом. 2025-2027'!AF377</f>
        <v>220</v>
      </c>
      <c r="K742" s="522"/>
      <c r="L742" s="154"/>
      <c r="N742" s="154"/>
      <c r="O742" s="154"/>
    </row>
    <row r="743" spans="1:15" s="177" customFormat="1" ht="31.5" x14ac:dyDescent="0.25">
      <c r="A743" s="375" t="s">
        <v>60</v>
      </c>
      <c r="B743" s="191" t="s">
        <v>8</v>
      </c>
      <c r="C743" s="4" t="s">
        <v>22</v>
      </c>
      <c r="D743" s="156" t="s">
        <v>506</v>
      </c>
      <c r="E743" s="326">
        <v>600</v>
      </c>
      <c r="F743" s="159">
        <f t="shared" ref="F743:K743" si="201">F744</f>
        <v>2060.1999999999998</v>
      </c>
      <c r="G743" s="306">
        <f t="shared" si="201"/>
        <v>711</v>
      </c>
      <c r="H743" s="522">
        <f t="shared" si="201"/>
        <v>2144</v>
      </c>
      <c r="I743" s="522">
        <f t="shared" si="201"/>
        <v>729</v>
      </c>
      <c r="J743" s="522">
        <f t="shared" si="201"/>
        <v>2171</v>
      </c>
      <c r="K743" s="522">
        <f t="shared" si="201"/>
        <v>742</v>
      </c>
      <c r="L743" s="154"/>
      <c r="N743" s="154"/>
      <c r="O743" s="154"/>
    </row>
    <row r="744" spans="1:15" s="177" customFormat="1" x14ac:dyDescent="0.25">
      <c r="A744" s="375" t="s">
        <v>61</v>
      </c>
      <c r="B744" s="191" t="s">
        <v>8</v>
      </c>
      <c r="C744" s="4" t="s">
        <v>22</v>
      </c>
      <c r="D744" s="156" t="s">
        <v>506</v>
      </c>
      <c r="E744" s="326">
        <v>610</v>
      </c>
      <c r="F744" s="159">
        <f>'ведом. 2025-2027'!AD769+'ведом. 2025-2027'!AD379</f>
        <v>2060.1999999999998</v>
      </c>
      <c r="G744" s="306">
        <v>711</v>
      </c>
      <c r="H744" s="522">
        <f>'ведом. 2025-2027'!AE769</f>
        <v>2144</v>
      </c>
      <c r="I744" s="522">
        <v>729</v>
      </c>
      <c r="J744" s="522">
        <f>'ведом. 2025-2027'!AF769</f>
        <v>2171</v>
      </c>
      <c r="K744" s="522">
        <v>742</v>
      </c>
      <c r="L744" s="154"/>
      <c r="N744" s="154"/>
      <c r="O744" s="154"/>
    </row>
    <row r="745" spans="1:15" s="138" customFormat="1" ht="31.5" x14ac:dyDescent="0.25">
      <c r="A745" s="375" t="s">
        <v>318</v>
      </c>
      <c r="B745" s="191" t="s">
        <v>8</v>
      </c>
      <c r="C745" s="4" t="s">
        <v>22</v>
      </c>
      <c r="D745" s="156" t="s">
        <v>507</v>
      </c>
      <c r="E745" s="326"/>
      <c r="F745" s="159">
        <f t="shared" ref="F745:K746" si="202">F746</f>
        <v>1950</v>
      </c>
      <c r="G745" s="306">
        <f t="shared" si="202"/>
        <v>800</v>
      </c>
      <c r="H745" s="522">
        <f t="shared" si="202"/>
        <v>2070</v>
      </c>
      <c r="I745" s="522">
        <f t="shared" si="202"/>
        <v>850</v>
      </c>
      <c r="J745" s="522">
        <f t="shared" si="202"/>
        <v>2080</v>
      </c>
      <c r="K745" s="522">
        <f t="shared" si="202"/>
        <v>850</v>
      </c>
      <c r="L745" s="154"/>
      <c r="N745" s="154"/>
      <c r="O745" s="154"/>
    </row>
    <row r="746" spans="1:15" s="138" customFormat="1" ht="31.5" x14ac:dyDescent="0.25">
      <c r="A746" s="375" t="s">
        <v>60</v>
      </c>
      <c r="B746" s="191" t="s">
        <v>8</v>
      </c>
      <c r="C746" s="4" t="s">
        <v>22</v>
      </c>
      <c r="D746" s="156" t="s">
        <v>507</v>
      </c>
      <c r="E746" s="325">
        <v>600</v>
      </c>
      <c r="F746" s="159">
        <f t="shared" si="202"/>
        <v>1950</v>
      </c>
      <c r="G746" s="306">
        <f t="shared" si="202"/>
        <v>800</v>
      </c>
      <c r="H746" s="522">
        <f t="shared" si="202"/>
        <v>2070</v>
      </c>
      <c r="I746" s="522">
        <f t="shared" si="202"/>
        <v>850</v>
      </c>
      <c r="J746" s="522">
        <f t="shared" si="202"/>
        <v>2080</v>
      </c>
      <c r="K746" s="522">
        <f t="shared" si="202"/>
        <v>850</v>
      </c>
      <c r="L746" s="154"/>
      <c r="N746" s="154"/>
      <c r="O746" s="154"/>
    </row>
    <row r="747" spans="1:15" s="138" customFormat="1" x14ac:dyDescent="0.25">
      <c r="A747" s="375" t="s">
        <v>61</v>
      </c>
      <c r="B747" s="191" t="s">
        <v>8</v>
      </c>
      <c r="C747" s="4" t="s">
        <v>22</v>
      </c>
      <c r="D747" s="156" t="s">
        <v>507</v>
      </c>
      <c r="E747" s="325">
        <v>610</v>
      </c>
      <c r="F747" s="159">
        <f>'ведом. 2025-2027'!AD772</f>
        <v>1950</v>
      </c>
      <c r="G747" s="306">
        <v>800</v>
      </c>
      <c r="H747" s="522">
        <f>'ведом. 2025-2027'!AE772+'ведом. 2025-2027'!AE379</f>
        <v>2070</v>
      </c>
      <c r="I747" s="522">
        <v>850</v>
      </c>
      <c r="J747" s="522">
        <f>'ведом. 2025-2027'!AF772+'ведом. 2025-2027'!AF379</f>
        <v>2080</v>
      </c>
      <c r="K747" s="522">
        <v>850</v>
      </c>
      <c r="L747" s="154"/>
      <c r="N747" s="154"/>
      <c r="O747" s="154"/>
    </row>
    <row r="748" spans="1:15" s="177" customFormat="1" x14ac:dyDescent="0.25">
      <c r="A748" s="255" t="s">
        <v>233</v>
      </c>
      <c r="B748" s="191" t="s">
        <v>8</v>
      </c>
      <c r="C748" s="4" t="s">
        <v>22</v>
      </c>
      <c r="D748" s="156" t="s">
        <v>234</v>
      </c>
      <c r="E748" s="326"/>
      <c r="F748" s="159">
        <f>F749</f>
        <v>947</v>
      </c>
      <c r="G748" s="159"/>
      <c r="H748" s="522">
        <f>H749</f>
        <v>0</v>
      </c>
      <c r="I748" s="522"/>
      <c r="J748" s="522">
        <f>J749</f>
        <v>0</v>
      </c>
      <c r="K748" s="522"/>
      <c r="L748" s="154"/>
      <c r="N748" s="154"/>
      <c r="O748" s="154"/>
    </row>
    <row r="749" spans="1:15" s="177" customFormat="1" ht="31.5" x14ac:dyDescent="0.25">
      <c r="A749" s="457" t="s">
        <v>704</v>
      </c>
      <c r="B749" s="453" t="s">
        <v>8</v>
      </c>
      <c r="C749" s="454" t="s">
        <v>22</v>
      </c>
      <c r="D749" s="458" t="s">
        <v>237</v>
      </c>
      <c r="E749" s="485"/>
      <c r="F749" s="159">
        <f t="shared" ref="F749:J750" si="203">F750</f>
        <v>947</v>
      </c>
      <c r="G749" s="306"/>
      <c r="H749" s="522">
        <f t="shared" si="203"/>
        <v>0</v>
      </c>
      <c r="I749" s="522"/>
      <c r="J749" s="522">
        <f t="shared" si="203"/>
        <v>0</v>
      </c>
      <c r="K749" s="522"/>
      <c r="L749" s="154"/>
      <c r="N749" s="154"/>
      <c r="O749" s="154"/>
    </row>
    <row r="750" spans="1:15" s="177" customFormat="1" x14ac:dyDescent="0.25">
      <c r="A750" s="451" t="s">
        <v>703</v>
      </c>
      <c r="B750" s="453" t="s">
        <v>8</v>
      </c>
      <c r="C750" s="454" t="s">
        <v>22</v>
      </c>
      <c r="D750" s="458" t="s">
        <v>702</v>
      </c>
      <c r="E750" s="456"/>
      <c r="F750" s="159">
        <f>F751</f>
        <v>947</v>
      </c>
      <c r="G750" s="159"/>
      <c r="H750" s="522">
        <f t="shared" si="203"/>
        <v>0</v>
      </c>
      <c r="I750" s="522"/>
      <c r="J750" s="522">
        <f t="shared" si="203"/>
        <v>0</v>
      </c>
      <c r="K750" s="522"/>
      <c r="L750" s="154"/>
      <c r="N750" s="154"/>
      <c r="O750" s="154"/>
    </row>
    <row r="751" spans="1:15" s="247" customFormat="1" ht="47.25" x14ac:dyDescent="0.25">
      <c r="A751" s="451" t="s">
        <v>700</v>
      </c>
      <c r="B751" s="453" t="s">
        <v>8</v>
      </c>
      <c r="C751" s="454" t="s">
        <v>22</v>
      </c>
      <c r="D751" s="486" t="s">
        <v>701</v>
      </c>
      <c r="E751" s="456"/>
      <c r="F751" s="159">
        <f>F752</f>
        <v>947</v>
      </c>
      <c r="G751" s="306"/>
      <c r="H751" s="522">
        <f>H752</f>
        <v>0</v>
      </c>
      <c r="I751" s="522"/>
      <c r="J751" s="522">
        <f>J752</f>
        <v>0</v>
      </c>
      <c r="K751" s="522"/>
      <c r="L751" s="246"/>
      <c r="N751" s="246"/>
      <c r="O751" s="246"/>
    </row>
    <row r="752" spans="1:15" s="247" customFormat="1" x14ac:dyDescent="0.25">
      <c r="A752" s="451" t="s">
        <v>120</v>
      </c>
      <c r="B752" s="453" t="s">
        <v>8</v>
      </c>
      <c r="C752" s="454" t="s">
        <v>22</v>
      </c>
      <c r="D752" s="486" t="s">
        <v>701</v>
      </c>
      <c r="E752" s="456">
        <v>200</v>
      </c>
      <c r="F752" s="159">
        <f>F753</f>
        <v>947</v>
      </c>
      <c r="G752" s="306"/>
      <c r="H752" s="522">
        <f>H753</f>
        <v>0</v>
      </c>
      <c r="I752" s="522"/>
      <c r="J752" s="522">
        <f>J753</f>
        <v>0</v>
      </c>
      <c r="K752" s="522"/>
      <c r="L752" s="246"/>
      <c r="N752" s="246"/>
      <c r="O752" s="246"/>
    </row>
    <row r="753" spans="1:15" s="247" customFormat="1" ht="31.5" x14ac:dyDescent="0.25">
      <c r="A753" s="451" t="s">
        <v>52</v>
      </c>
      <c r="B753" s="453" t="s">
        <v>8</v>
      </c>
      <c r="C753" s="454" t="s">
        <v>22</v>
      </c>
      <c r="D753" s="486" t="s">
        <v>701</v>
      </c>
      <c r="E753" s="456">
        <v>240</v>
      </c>
      <c r="F753" s="159">
        <f>'ведом. 2025-2027'!AD778</f>
        <v>947</v>
      </c>
      <c r="G753" s="306"/>
      <c r="H753" s="522">
        <f>'ведом. 2025-2027'!AE778</f>
        <v>0</v>
      </c>
      <c r="I753" s="522"/>
      <c r="J753" s="522">
        <f>'ведом. 2025-2027'!AF778</f>
        <v>0</v>
      </c>
      <c r="K753" s="522"/>
      <c r="L753" s="246"/>
      <c r="N753" s="246"/>
      <c r="O753" s="246"/>
    </row>
    <row r="754" spans="1:15" s="138" customFormat="1" x14ac:dyDescent="0.25">
      <c r="A754" s="384" t="s">
        <v>21</v>
      </c>
      <c r="B754" s="193" t="s">
        <v>16</v>
      </c>
      <c r="C754" s="188"/>
      <c r="D754" s="26"/>
      <c r="E754" s="326"/>
      <c r="F754" s="161">
        <f>F755</f>
        <v>204945.09999999998</v>
      </c>
      <c r="G754" s="347">
        <f t="shared" ref="G754:K754" si="204">G755</f>
        <v>1748.1</v>
      </c>
      <c r="H754" s="161">
        <f t="shared" si="204"/>
        <v>168096</v>
      </c>
      <c r="I754" s="161">
        <f t="shared" si="204"/>
        <v>659.7</v>
      </c>
      <c r="J754" s="161">
        <f t="shared" si="204"/>
        <v>153265.90000000002</v>
      </c>
      <c r="K754" s="161">
        <f t="shared" si="204"/>
        <v>310.60000000000002</v>
      </c>
      <c r="L754" s="154"/>
      <c r="N754" s="154"/>
      <c r="O754" s="154"/>
    </row>
    <row r="755" spans="1:15" s="138" customFormat="1" x14ac:dyDescent="0.25">
      <c r="A755" s="375" t="s">
        <v>64</v>
      </c>
      <c r="B755" s="191" t="s">
        <v>16</v>
      </c>
      <c r="C755" s="4" t="s">
        <v>29</v>
      </c>
      <c r="D755" s="26"/>
      <c r="E755" s="326"/>
      <c r="F755" s="159">
        <f t="shared" ref="F755:K755" si="205">F756+F803</f>
        <v>204945.09999999998</v>
      </c>
      <c r="G755" s="522">
        <f t="shared" si="205"/>
        <v>1748.1</v>
      </c>
      <c r="H755" s="522">
        <f t="shared" si="205"/>
        <v>168096</v>
      </c>
      <c r="I755" s="522">
        <f t="shared" si="205"/>
        <v>659.7</v>
      </c>
      <c r="J755" s="522">
        <f t="shared" si="205"/>
        <v>153265.90000000002</v>
      </c>
      <c r="K755" s="522">
        <f t="shared" si="205"/>
        <v>310.60000000000002</v>
      </c>
      <c r="L755" s="154"/>
      <c r="N755" s="154"/>
      <c r="O755" s="154"/>
    </row>
    <row r="756" spans="1:15" s="138" customFormat="1" x14ac:dyDescent="0.25">
      <c r="A756" s="255" t="s">
        <v>573</v>
      </c>
      <c r="B756" s="191" t="s">
        <v>16</v>
      </c>
      <c r="C756" s="4" t="s">
        <v>29</v>
      </c>
      <c r="D756" s="156" t="s">
        <v>114</v>
      </c>
      <c r="E756" s="325"/>
      <c r="F756" s="159">
        <f t="shared" ref="F756:K756" si="206">F757+F766+F777</f>
        <v>186307.8</v>
      </c>
      <c r="G756" s="159">
        <f t="shared" si="206"/>
        <v>1748.1</v>
      </c>
      <c r="H756" s="522">
        <f t="shared" si="206"/>
        <v>146624</v>
      </c>
      <c r="I756" s="522">
        <f t="shared" si="206"/>
        <v>659.7</v>
      </c>
      <c r="J756" s="522">
        <f t="shared" si="206"/>
        <v>130913.90000000001</v>
      </c>
      <c r="K756" s="522">
        <f t="shared" si="206"/>
        <v>310.60000000000002</v>
      </c>
      <c r="L756" s="154"/>
      <c r="N756" s="154"/>
      <c r="O756" s="154"/>
    </row>
    <row r="757" spans="1:15" s="138" customFormat="1" x14ac:dyDescent="0.25">
      <c r="A757" s="255" t="s">
        <v>490</v>
      </c>
      <c r="B757" s="191" t="s">
        <v>16</v>
      </c>
      <c r="C757" s="4" t="s">
        <v>29</v>
      </c>
      <c r="D757" s="156" t="s">
        <v>313</v>
      </c>
      <c r="E757" s="325"/>
      <c r="F757" s="159">
        <f>F758+F762</f>
        <v>33818.6</v>
      </c>
      <c r="G757" s="522">
        <f t="shared" ref="G757:J757" si="207">G758+G762</f>
        <v>0</v>
      </c>
      <c r="H757" s="522">
        <f t="shared" si="207"/>
        <v>29355.8</v>
      </c>
      <c r="I757" s="522">
        <f t="shared" si="207"/>
        <v>0</v>
      </c>
      <c r="J757" s="522">
        <f t="shared" si="207"/>
        <v>29511.7</v>
      </c>
      <c r="K757" s="522"/>
      <c r="L757" s="154"/>
      <c r="N757" s="154"/>
      <c r="O757" s="154"/>
    </row>
    <row r="758" spans="1:15" s="138" customFormat="1" x14ac:dyDescent="0.25">
      <c r="A758" s="255" t="s">
        <v>314</v>
      </c>
      <c r="B758" s="191" t="s">
        <v>16</v>
      </c>
      <c r="C758" s="4" t="s">
        <v>29</v>
      </c>
      <c r="D758" s="156" t="s">
        <v>315</v>
      </c>
      <c r="E758" s="325"/>
      <c r="F758" s="159">
        <f>F759</f>
        <v>30548.6</v>
      </c>
      <c r="G758" s="306"/>
      <c r="H758" s="522">
        <f>H759</f>
        <v>29355.8</v>
      </c>
      <c r="I758" s="522"/>
      <c r="J758" s="522">
        <f>J759</f>
        <v>29511.7</v>
      </c>
      <c r="K758" s="522"/>
      <c r="L758" s="154"/>
      <c r="N758" s="154"/>
      <c r="O758" s="154"/>
    </row>
    <row r="759" spans="1:15" s="138" customFormat="1" ht="31.5" x14ac:dyDescent="0.25">
      <c r="A759" s="378" t="s">
        <v>252</v>
      </c>
      <c r="B759" s="191" t="s">
        <v>16</v>
      </c>
      <c r="C759" s="4" t="s">
        <v>29</v>
      </c>
      <c r="D759" s="156" t="s">
        <v>253</v>
      </c>
      <c r="E759" s="325"/>
      <c r="F759" s="159">
        <f>F760</f>
        <v>30548.6</v>
      </c>
      <c r="G759" s="306"/>
      <c r="H759" s="522">
        <f>H760</f>
        <v>29355.8</v>
      </c>
      <c r="I759" s="522"/>
      <c r="J759" s="522">
        <f>J760</f>
        <v>29511.7</v>
      </c>
      <c r="K759" s="522"/>
      <c r="L759" s="154"/>
      <c r="N759" s="154"/>
      <c r="O759" s="154"/>
    </row>
    <row r="760" spans="1:15" s="138" customFormat="1" ht="31.5" x14ac:dyDescent="0.25">
      <c r="A760" s="375" t="s">
        <v>60</v>
      </c>
      <c r="B760" s="191" t="s">
        <v>16</v>
      </c>
      <c r="C760" s="4" t="s">
        <v>29</v>
      </c>
      <c r="D760" s="156" t="s">
        <v>253</v>
      </c>
      <c r="E760" s="326">
        <v>600</v>
      </c>
      <c r="F760" s="159">
        <f>F761</f>
        <v>30548.6</v>
      </c>
      <c r="G760" s="306"/>
      <c r="H760" s="522">
        <f>H761</f>
        <v>29355.8</v>
      </c>
      <c r="I760" s="522"/>
      <c r="J760" s="522">
        <f>J761</f>
        <v>29511.7</v>
      </c>
      <c r="K760" s="522"/>
      <c r="L760" s="154"/>
      <c r="N760" s="154"/>
      <c r="O760" s="154"/>
    </row>
    <row r="761" spans="1:15" s="138" customFormat="1" x14ac:dyDescent="0.25">
      <c r="A761" s="375" t="s">
        <v>61</v>
      </c>
      <c r="B761" s="191" t="s">
        <v>16</v>
      </c>
      <c r="C761" s="4" t="s">
        <v>29</v>
      </c>
      <c r="D761" s="156" t="s">
        <v>253</v>
      </c>
      <c r="E761" s="326">
        <v>610</v>
      </c>
      <c r="F761" s="159">
        <f>'ведом. 2025-2027'!AD387</f>
        <v>30548.6</v>
      </c>
      <c r="G761" s="306"/>
      <c r="H761" s="522">
        <f>'ведом. 2025-2027'!AE387</f>
        <v>29355.8</v>
      </c>
      <c r="I761" s="522"/>
      <c r="J761" s="522">
        <f>'ведом. 2025-2027'!AF387</f>
        <v>29511.7</v>
      </c>
      <c r="K761" s="522"/>
      <c r="L761" s="154"/>
      <c r="N761" s="154"/>
      <c r="O761" s="154"/>
    </row>
    <row r="762" spans="1:15" s="519" customFormat="1" ht="31.5" x14ac:dyDescent="0.25">
      <c r="A762" s="451" t="s">
        <v>803</v>
      </c>
      <c r="B762" s="453" t="s">
        <v>16</v>
      </c>
      <c r="C762" s="453" t="s">
        <v>29</v>
      </c>
      <c r="D762" s="542" t="s">
        <v>806</v>
      </c>
      <c r="E762" s="477"/>
      <c r="F762" s="522">
        <f>F763</f>
        <v>3270</v>
      </c>
      <c r="G762" s="522"/>
      <c r="H762" s="522">
        <f t="shared" ref="H762:J764" si="208">H763</f>
        <v>0</v>
      </c>
      <c r="I762" s="522"/>
      <c r="J762" s="522">
        <f t="shared" si="208"/>
        <v>0</v>
      </c>
      <c r="K762" s="522"/>
      <c r="L762" s="521"/>
      <c r="N762" s="521"/>
      <c r="O762" s="521"/>
    </row>
    <row r="763" spans="1:15" s="519" customFormat="1" x14ac:dyDescent="0.25">
      <c r="A763" s="451" t="s">
        <v>804</v>
      </c>
      <c r="B763" s="453" t="s">
        <v>16</v>
      </c>
      <c r="C763" s="453" t="s">
        <v>29</v>
      </c>
      <c r="D763" s="542" t="s">
        <v>805</v>
      </c>
      <c r="E763" s="709"/>
      <c r="F763" s="522">
        <f>F764</f>
        <v>3270</v>
      </c>
      <c r="G763" s="522"/>
      <c r="H763" s="522">
        <f t="shared" si="208"/>
        <v>0</v>
      </c>
      <c r="I763" s="522"/>
      <c r="J763" s="522">
        <f t="shared" si="208"/>
        <v>0</v>
      </c>
      <c r="K763" s="522"/>
      <c r="L763" s="521"/>
      <c r="N763" s="521"/>
      <c r="O763" s="521"/>
    </row>
    <row r="764" spans="1:15" s="519" customFormat="1" ht="31.5" x14ac:dyDescent="0.25">
      <c r="A764" s="451" t="s">
        <v>60</v>
      </c>
      <c r="B764" s="453" t="s">
        <v>16</v>
      </c>
      <c r="C764" s="453" t="s">
        <v>29</v>
      </c>
      <c r="D764" s="542" t="s">
        <v>805</v>
      </c>
      <c r="E764" s="453">
        <v>600</v>
      </c>
      <c r="F764" s="522">
        <f>F765</f>
        <v>3270</v>
      </c>
      <c r="G764" s="522"/>
      <c r="H764" s="522">
        <f t="shared" si="208"/>
        <v>0</v>
      </c>
      <c r="I764" s="522"/>
      <c r="J764" s="522">
        <f t="shared" si="208"/>
        <v>0</v>
      </c>
      <c r="K764" s="522"/>
      <c r="L764" s="521"/>
      <c r="N764" s="521"/>
      <c r="O764" s="521"/>
    </row>
    <row r="765" spans="1:15" s="519" customFormat="1" x14ac:dyDescent="0.25">
      <c r="A765" s="451" t="s">
        <v>61</v>
      </c>
      <c r="B765" s="453" t="s">
        <v>16</v>
      </c>
      <c r="C765" s="453" t="s">
        <v>29</v>
      </c>
      <c r="D765" s="542" t="s">
        <v>805</v>
      </c>
      <c r="E765" s="453">
        <v>610</v>
      </c>
      <c r="F765" s="522">
        <f>'ведом. 2025-2027'!AD391</f>
        <v>3270</v>
      </c>
      <c r="G765" s="524"/>
      <c r="H765" s="522">
        <f>'ведом. 2025-2027'!AE391</f>
        <v>0</v>
      </c>
      <c r="I765" s="522"/>
      <c r="J765" s="522">
        <f>'ведом. 2025-2027'!AF391</f>
        <v>0</v>
      </c>
      <c r="K765" s="522"/>
      <c r="L765" s="521"/>
      <c r="N765" s="521"/>
      <c r="O765" s="521"/>
    </row>
    <row r="766" spans="1:15" s="138" customFormat="1" x14ac:dyDescent="0.25">
      <c r="A766" s="271" t="s">
        <v>498</v>
      </c>
      <c r="B766" s="191" t="s">
        <v>16</v>
      </c>
      <c r="C766" s="4" t="s">
        <v>29</v>
      </c>
      <c r="D766" s="156" t="s">
        <v>140</v>
      </c>
      <c r="E766" s="336"/>
      <c r="F766" s="159">
        <f>F767</f>
        <v>38268.299999999996</v>
      </c>
      <c r="G766" s="522">
        <f t="shared" ref="G766:K766" si="209">G767</f>
        <v>307.60000000000002</v>
      </c>
      <c r="H766" s="522">
        <f t="shared" si="209"/>
        <v>37183.199999999997</v>
      </c>
      <c r="I766" s="522">
        <f t="shared" si="209"/>
        <v>314.2</v>
      </c>
      <c r="J766" s="522">
        <f t="shared" si="209"/>
        <v>37369.700000000004</v>
      </c>
      <c r="K766" s="522">
        <f t="shared" si="209"/>
        <v>310.60000000000002</v>
      </c>
      <c r="L766" s="154"/>
      <c r="N766" s="154"/>
      <c r="O766" s="154"/>
    </row>
    <row r="767" spans="1:15" s="138" customFormat="1" ht="31.5" x14ac:dyDescent="0.25">
      <c r="A767" s="255" t="s">
        <v>254</v>
      </c>
      <c r="B767" s="191" t="s">
        <v>16</v>
      </c>
      <c r="C767" s="4" t="s">
        <v>29</v>
      </c>
      <c r="D767" s="156" t="s">
        <v>141</v>
      </c>
      <c r="E767" s="326"/>
      <c r="F767" s="159">
        <f t="shared" ref="F767:K767" si="210">F768+F771+F774</f>
        <v>38268.299999999996</v>
      </c>
      <c r="G767" s="306">
        <f t="shared" si="210"/>
        <v>307.60000000000002</v>
      </c>
      <c r="H767" s="522">
        <f t="shared" si="210"/>
        <v>37183.199999999997</v>
      </c>
      <c r="I767" s="522">
        <f t="shared" si="210"/>
        <v>314.2</v>
      </c>
      <c r="J767" s="522">
        <f t="shared" si="210"/>
        <v>37369.700000000004</v>
      </c>
      <c r="K767" s="522">
        <f t="shared" si="210"/>
        <v>310.60000000000002</v>
      </c>
      <c r="L767" s="154"/>
      <c r="N767" s="154"/>
      <c r="O767" s="154"/>
    </row>
    <row r="768" spans="1:15" s="138" customFormat="1" ht="37.5" customHeight="1" x14ac:dyDescent="0.25">
      <c r="A768" s="378" t="s">
        <v>751</v>
      </c>
      <c r="B768" s="191" t="s">
        <v>16</v>
      </c>
      <c r="C768" s="4" t="s">
        <v>29</v>
      </c>
      <c r="D768" s="156" t="s">
        <v>255</v>
      </c>
      <c r="E768" s="326"/>
      <c r="F768" s="159">
        <f>F769</f>
        <v>1000</v>
      </c>
      <c r="G768" s="306"/>
      <c r="H768" s="522">
        <f>H769</f>
        <v>1000</v>
      </c>
      <c r="I768" s="522"/>
      <c r="J768" s="522">
        <f>J769</f>
        <v>1000</v>
      </c>
      <c r="K768" s="522"/>
      <c r="L768" s="154"/>
      <c r="N768" s="154"/>
      <c r="O768" s="154"/>
    </row>
    <row r="769" spans="1:15" s="138" customFormat="1" ht="31.5" x14ac:dyDescent="0.25">
      <c r="A769" s="375" t="s">
        <v>60</v>
      </c>
      <c r="B769" s="191" t="s">
        <v>16</v>
      </c>
      <c r="C769" s="4" t="s">
        <v>29</v>
      </c>
      <c r="D769" s="156" t="s">
        <v>255</v>
      </c>
      <c r="E769" s="326">
        <v>600</v>
      </c>
      <c r="F769" s="159">
        <f>F770</f>
        <v>1000</v>
      </c>
      <c r="G769" s="306"/>
      <c r="H769" s="522">
        <f>H770</f>
        <v>1000</v>
      </c>
      <c r="I769" s="522"/>
      <c r="J769" s="522">
        <f>J770</f>
        <v>1000</v>
      </c>
      <c r="K769" s="522"/>
      <c r="L769" s="154"/>
      <c r="N769" s="154"/>
      <c r="O769" s="154"/>
    </row>
    <row r="770" spans="1:15" s="138" customFormat="1" x14ac:dyDescent="0.25">
      <c r="A770" s="375" t="s">
        <v>61</v>
      </c>
      <c r="B770" s="191" t="s">
        <v>16</v>
      </c>
      <c r="C770" s="4" t="s">
        <v>29</v>
      </c>
      <c r="D770" s="156" t="s">
        <v>255</v>
      </c>
      <c r="E770" s="326">
        <v>610</v>
      </c>
      <c r="F770" s="159">
        <f>'ведом. 2025-2027'!AD396</f>
        <v>1000</v>
      </c>
      <c r="G770" s="306"/>
      <c r="H770" s="522">
        <f>'ведом. 2025-2027'!AE396</f>
        <v>1000</v>
      </c>
      <c r="I770" s="522"/>
      <c r="J770" s="522">
        <f>'ведом. 2025-2027'!AF396</f>
        <v>1000</v>
      </c>
      <c r="K770" s="522"/>
      <c r="L770" s="154"/>
      <c r="N770" s="154"/>
      <c r="O770" s="154"/>
    </row>
    <row r="771" spans="1:15" s="138" customFormat="1" ht="31.5" x14ac:dyDescent="0.25">
      <c r="A771" s="375" t="s">
        <v>256</v>
      </c>
      <c r="B771" s="191" t="s">
        <v>16</v>
      </c>
      <c r="C771" s="4" t="s">
        <v>29</v>
      </c>
      <c r="D771" s="156" t="s">
        <v>257</v>
      </c>
      <c r="E771" s="326"/>
      <c r="F771" s="159">
        <f>F772</f>
        <v>36893.599999999999</v>
      </c>
      <c r="G771" s="306"/>
      <c r="H771" s="522">
        <f>H772</f>
        <v>35800.5</v>
      </c>
      <c r="I771" s="522"/>
      <c r="J771" s="522">
        <f>J772</f>
        <v>35991.4</v>
      </c>
      <c r="K771" s="522"/>
      <c r="L771" s="154"/>
      <c r="N771" s="154"/>
      <c r="O771" s="154"/>
    </row>
    <row r="772" spans="1:15" s="138" customFormat="1" ht="31.5" x14ac:dyDescent="0.25">
      <c r="A772" s="375" t="s">
        <v>60</v>
      </c>
      <c r="B772" s="191" t="s">
        <v>16</v>
      </c>
      <c r="C772" s="4" t="s">
        <v>29</v>
      </c>
      <c r="D772" s="156" t="s">
        <v>257</v>
      </c>
      <c r="E772" s="326">
        <v>600</v>
      </c>
      <c r="F772" s="159">
        <f>F773</f>
        <v>36893.599999999999</v>
      </c>
      <c r="G772" s="306"/>
      <c r="H772" s="522">
        <f>H773</f>
        <v>35800.5</v>
      </c>
      <c r="I772" s="522"/>
      <c r="J772" s="522">
        <f>J773</f>
        <v>35991.4</v>
      </c>
      <c r="K772" s="522"/>
      <c r="L772" s="154"/>
      <c r="N772" s="154"/>
      <c r="O772" s="154"/>
    </row>
    <row r="773" spans="1:15" s="138" customFormat="1" x14ac:dyDescent="0.25">
      <c r="A773" s="375" t="s">
        <v>61</v>
      </c>
      <c r="B773" s="191" t="s">
        <v>16</v>
      </c>
      <c r="C773" s="4" t="s">
        <v>29</v>
      </c>
      <c r="D773" s="156" t="s">
        <v>257</v>
      </c>
      <c r="E773" s="326">
        <v>610</v>
      </c>
      <c r="F773" s="159">
        <f>'ведом. 2025-2027'!AD399</f>
        <v>36893.599999999999</v>
      </c>
      <c r="G773" s="306"/>
      <c r="H773" s="522">
        <f>'ведом. 2025-2027'!AE399</f>
        <v>35800.5</v>
      </c>
      <c r="I773" s="522"/>
      <c r="J773" s="522">
        <f>'ведом. 2025-2027'!AF399</f>
        <v>35991.4</v>
      </c>
      <c r="K773" s="522"/>
      <c r="L773" s="154"/>
      <c r="N773" s="154"/>
      <c r="O773" s="154"/>
    </row>
    <row r="774" spans="1:15" s="177" customFormat="1" ht="31.5" x14ac:dyDescent="0.25">
      <c r="A774" s="375" t="s">
        <v>501</v>
      </c>
      <c r="B774" s="191" t="s">
        <v>16</v>
      </c>
      <c r="C774" s="4" t="s">
        <v>29</v>
      </c>
      <c r="D774" s="156" t="s">
        <v>399</v>
      </c>
      <c r="E774" s="326"/>
      <c r="F774" s="159">
        <f t="shared" ref="F774:K775" si="211">F775</f>
        <v>374.70000000000005</v>
      </c>
      <c r="G774" s="306">
        <f t="shared" si="211"/>
        <v>307.60000000000002</v>
      </c>
      <c r="H774" s="522">
        <f t="shared" si="211"/>
        <v>382.7</v>
      </c>
      <c r="I774" s="522">
        <f t="shared" si="211"/>
        <v>314.2</v>
      </c>
      <c r="J774" s="522">
        <f t="shared" si="211"/>
        <v>378.3</v>
      </c>
      <c r="K774" s="522">
        <f t="shared" si="211"/>
        <v>310.60000000000002</v>
      </c>
      <c r="L774" s="154"/>
      <c r="N774" s="154"/>
      <c r="O774" s="154"/>
    </row>
    <row r="775" spans="1:15" s="177" customFormat="1" ht="31.5" x14ac:dyDescent="0.25">
      <c r="A775" s="375" t="s">
        <v>60</v>
      </c>
      <c r="B775" s="191" t="s">
        <v>16</v>
      </c>
      <c r="C775" s="4" t="s">
        <v>29</v>
      </c>
      <c r="D775" s="156" t="s">
        <v>399</v>
      </c>
      <c r="E775" s="326">
        <v>600</v>
      </c>
      <c r="F775" s="159">
        <f t="shared" si="211"/>
        <v>374.70000000000005</v>
      </c>
      <c r="G775" s="306">
        <f t="shared" si="211"/>
        <v>307.60000000000002</v>
      </c>
      <c r="H775" s="522">
        <f t="shared" si="211"/>
        <v>382.7</v>
      </c>
      <c r="I775" s="522">
        <f t="shared" si="211"/>
        <v>314.2</v>
      </c>
      <c r="J775" s="522">
        <f t="shared" si="211"/>
        <v>378.3</v>
      </c>
      <c r="K775" s="522">
        <f t="shared" si="211"/>
        <v>310.60000000000002</v>
      </c>
      <c r="L775" s="154"/>
      <c r="N775" s="154"/>
      <c r="O775" s="154"/>
    </row>
    <row r="776" spans="1:15" s="177" customFormat="1" x14ac:dyDescent="0.25">
      <c r="A776" s="375" t="s">
        <v>61</v>
      </c>
      <c r="B776" s="191" t="s">
        <v>16</v>
      </c>
      <c r="C776" s="4" t="s">
        <v>29</v>
      </c>
      <c r="D776" s="156" t="s">
        <v>399</v>
      </c>
      <c r="E776" s="326">
        <v>610</v>
      </c>
      <c r="F776" s="159">
        <f>'ведом. 2025-2027'!AD402</f>
        <v>374.70000000000005</v>
      </c>
      <c r="G776" s="306">
        <v>307.60000000000002</v>
      </c>
      <c r="H776" s="522">
        <f>'ведом. 2025-2027'!AE402</f>
        <v>382.7</v>
      </c>
      <c r="I776" s="522">
        <v>314.2</v>
      </c>
      <c r="J776" s="522">
        <f>'ведом. 2025-2027'!AF402</f>
        <v>378.3</v>
      </c>
      <c r="K776" s="522">
        <v>310.60000000000002</v>
      </c>
      <c r="L776" s="154"/>
      <c r="N776" s="154"/>
      <c r="O776" s="154"/>
    </row>
    <row r="777" spans="1:15" s="138" customFormat="1" ht="31.5" x14ac:dyDescent="0.25">
      <c r="A777" s="255" t="s">
        <v>492</v>
      </c>
      <c r="B777" s="191" t="s">
        <v>16</v>
      </c>
      <c r="C777" s="4" t="s">
        <v>29</v>
      </c>
      <c r="D777" s="156" t="s">
        <v>258</v>
      </c>
      <c r="E777" s="326"/>
      <c r="F777" s="159">
        <f>F778+F788+F799+F795</f>
        <v>114220.9</v>
      </c>
      <c r="G777" s="522">
        <f t="shared" ref="G777:J777" si="212">G778+G788+G799+G795</f>
        <v>1440.5</v>
      </c>
      <c r="H777" s="522">
        <f t="shared" si="212"/>
        <v>80085</v>
      </c>
      <c r="I777" s="522">
        <f t="shared" si="212"/>
        <v>345.5</v>
      </c>
      <c r="J777" s="522">
        <f t="shared" si="212"/>
        <v>64032.5</v>
      </c>
      <c r="K777" s="522"/>
      <c r="L777" s="154"/>
      <c r="N777" s="154"/>
      <c r="O777" s="154"/>
    </row>
    <row r="778" spans="1:15" s="138" customFormat="1" x14ac:dyDescent="0.25">
      <c r="A778" s="255" t="s">
        <v>353</v>
      </c>
      <c r="B778" s="191" t="s">
        <v>16</v>
      </c>
      <c r="C778" s="4" t="s">
        <v>29</v>
      </c>
      <c r="D778" s="156" t="s">
        <v>493</v>
      </c>
      <c r="E778" s="326"/>
      <c r="F778" s="159">
        <f>F779</f>
        <v>21085</v>
      </c>
      <c r="G778" s="306"/>
      <c r="H778" s="522">
        <f>H779</f>
        <v>130</v>
      </c>
      <c r="I778" s="522"/>
      <c r="J778" s="522">
        <f>J779</f>
        <v>0</v>
      </c>
      <c r="K778" s="522"/>
      <c r="L778" s="154"/>
      <c r="N778" s="154"/>
      <c r="O778" s="154"/>
    </row>
    <row r="779" spans="1:15" s="138" customFormat="1" x14ac:dyDescent="0.25">
      <c r="A779" s="378" t="s">
        <v>259</v>
      </c>
      <c r="B779" s="191" t="s">
        <v>16</v>
      </c>
      <c r="C779" s="4" t="s">
        <v>29</v>
      </c>
      <c r="D779" s="156" t="s">
        <v>552</v>
      </c>
      <c r="E779" s="326"/>
      <c r="F779" s="159">
        <f>F780+F785</f>
        <v>21085</v>
      </c>
      <c r="G779" s="306"/>
      <c r="H779" s="522">
        <f>H780+H785</f>
        <v>130</v>
      </c>
      <c r="I779" s="522"/>
      <c r="J779" s="522">
        <f>J780+J785</f>
        <v>0</v>
      </c>
      <c r="K779" s="522"/>
      <c r="L779" s="154"/>
      <c r="N779" s="154"/>
      <c r="O779" s="154"/>
    </row>
    <row r="780" spans="1:15" s="138" customFormat="1" ht="31.5" x14ac:dyDescent="0.25">
      <c r="A780" s="375" t="s">
        <v>260</v>
      </c>
      <c r="B780" s="191" t="s">
        <v>16</v>
      </c>
      <c r="C780" s="4" t="s">
        <v>29</v>
      </c>
      <c r="D780" s="156" t="s">
        <v>553</v>
      </c>
      <c r="E780" s="326"/>
      <c r="F780" s="159">
        <f>F783+F781</f>
        <v>20550</v>
      </c>
      <c r="G780" s="522"/>
      <c r="H780" s="522">
        <f t="shared" ref="H780" si="213">H783+H781</f>
        <v>130</v>
      </c>
      <c r="I780" s="522"/>
      <c r="J780" s="522">
        <f t="shared" ref="J780" si="214">J783-J781</f>
        <v>0</v>
      </c>
      <c r="K780" s="522"/>
      <c r="L780" s="154"/>
      <c r="N780" s="154"/>
      <c r="O780" s="154"/>
    </row>
    <row r="781" spans="1:15" s="519" customFormat="1" x14ac:dyDescent="0.25">
      <c r="A781" s="375" t="s">
        <v>120</v>
      </c>
      <c r="B781" s="191" t="s">
        <v>16</v>
      </c>
      <c r="C781" s="516" t="s">
        <v>29</v>
      </c>
      <c r="D781" s="156" t="s">
        <v>553</v>
      </c>
      <c r="E781" s="326">
        <v>200</v>
      </c>
      <c r="F781" s="522">
        <f>F782</f>
        <v>10265</v>
      </c>
      <c r="G781" s="522"/>
      <c r="H781" s="522">
        <f t="shared" ref="H781" si="215">H782</f>
        <v>130</v>
      </c>
      <c r="I781" s="522"/>
      <c r="J781" s="522">
        <f t="shared" ref="J781" si="216">J782</f>
        <v>0</v>
      </c>
      <c r="K781" s="522"/>
      <c r="L781" s="521"/>
      <c r="N781" s="521"/>
      <c r="O781" s="521"/>
    </row>
    <row r="782" spans="1:15" s="519" customFormat="1" ht="31.5" x14ac:dyDescent="0.25">
      <c r="A782" s="375" t="s">
        <v>52</v>
      </c>
      <c r="B782" s="191" t="s">
        <v>16</v>
      </c>
      <c r="C782" s="516" t="s">
        <v>29</v>
      </c>
      <c r="D782" s="156" t="s">
        <v>553</v>
      </c>
      <c r="E782" s="326">
        <v>240</v>
      </c>
      <c r="F782" s="522">
        <f>'ведом. 2025-2027'!AD408</f>
        <v>10265</v>
      </c>
      <c r="G782" s="524"/>
      <c r="H782" s="522">
        <f>'ведом. 2025-2027'!AE408</f>
        <v>130</v>
      </c>
      <c r="I782" s="522"/>
      <c r="J782" s="522">
        <f>'ведом. 2025-2027'!AF408</f>
        <v>0</v>
      </c>
      <c r="K782" s="522"/>
      <c r="L782" s="521"/>
      <c r="N782" s="521"/>
      <c r="O782" s="521"/>
    </row>
    <row r="783" spans="1:15" s="138" customFormat="1" ht="31.5" x14ac:dyDescent="0.25">
      <c r="A783" s="375" t="s">
        <v>60</v>
      </c>
      <c r="B783" s="191" t="s">
        <v>16</v>
      </c>
      <c r="C783" s="4" t="s">
        <v>29</v>
      </c>
      <c r="D783" s="156" t="s">
        <v>553</v>
      </c>
      <c r="E783" s="326">
        <v>600</v>
      </c>
      <c r="F783" s="159">
        <f>F784</f>
        <v>10285</v>
      </c>
      <c r="G783" s="306"/>
      <c r="H783" s="522">
        <f>H784</f>
        <v>0</v>
      </c>
      <c r="I783" s="522"/>
      <c r="J783" s="522">
        <f>J784</f>
        <v>0</v>
      </c>
      <c r="K783" s="522"/>
      <c r="L783" s="154"/>
      <c r="N783" s="154"/>
      <c r="O783" s="154"/>
    </row>
    <row r="784" spans="1:15" s="138" customFormat="1" x14ac:dyDescent="0.25">
      <c r="A784" s="375" t="s">
        <v>61</v>
      </c>
      <c r="B784" s="191" t="s">
        <v>16</v>
      </c>
      <c r="C784" s="4" t="s">
        <v>29</v>
      </c>
      <c r="D784" s="156" t="s">
        <v>553</v>
      </c>
      <c r="E784" s="326">
        <v>610</v>
      </c>
      <c r="F784" s="159">
        <f>'ведом. 2025-2027'!AD410</f>
        <v>10285</v>
      </c>
      <c r="G784" s="306"/>
      <c r="H784" s="522">
        <f>'ведом. 2025-2027'!AE410</f>
        <v>0</v>
      </c>
      <c r="I784" s="522"/>
      <c r="J784" s="522">
        <f>'ведом. 2025-2027'!AF410</f>
        <v>0</v>
      </c>
      <c r="K784" s="522"/>
      <c r="L784" s="154"/>
      <c r="N784" s="154"/>
      <c r="O784" s="154"/>
    </row>
    <row r="785" spans="1:15" s="138" customFormat="1" ht="31.5" x14ac:dyDescent="0.25">
      <c r="A785" s="375" t="s">
        <v>261</v>
      </c>
      <c r="B785" s="191" t="s">
        <v>16</v>
      </c>
      <c r="C785" s="4" t="s">
        <v>29</v>
      </c>
      <c r="D785" s="156" t="s">
        <v>554</v>
      </c>
      <c r="E785" s="326"/>
      <c r="F785" s="159">
        <f>F786</f>
        <v>535</v>
      </c>
      <c r="G785" s="306"/>
      <c r="H785" s="522">
        <f>H786</f>
        <v>0</v>
      </c>
      <c r="I785" s="522"/>
      <c r="J785" s="522">
        <f>J786</f>
        <v>0</v>
      </c>
      <c r="K785" s="522"/>
      <c r="L785" s="154"/>
      <c r="N785" s="154"/>
      <c r="O785" s="154"/>
    </row>
    <row r="786" spans="1:15" s="138" customFormat="1" ht="31.5" x14ac:dyDescent="0.25">
      <c r="A786" s="375" t="s">
        <v>60</v>
      </c>
      <c r="B786" s="191" t="s">
        <v>16</v>
      </c>
      <c r="C786" s="4" t="s">
        <v>29</v>
      </c>
      <c r="D786" s="156" t="s">
        <v>554</v>
      </c>
      <c r="E786" s="326">
        <v>600</v>
      </c>
      <c r="F786" s="159">
        <f>F787</f>
        <v>535</v>
      </c>
      <c r="G786" s="306"/>
      <c r="H786" s="522">
        <f>H787</f>
        <v>0</v>
      </c>
      <c r="I786" s="522"/>
      <c r="J786" s="522">
        <f>J787</f>
        <v>0</v>
      </c>
      <c r="K786" s="522"/>
      <c r="L786" s="154"/>
      <c r="N786" s="154"/>
      <c r="O786" s="154"/>
    </row>
    <row r="787" spans="1:15" s="138" customFormat="1" x14ac:dyDescent="0.25">
      <c r="A787" s="375" t="s">
        <v>61</v>
      </c>
      <c r="B787" s="191" t="s">
        <v>16</v>
      </c>
      <c r="C787" s="4" t="s">
        <v>29</v>
      </c>
      <c r="D787" s="156" t="s">
        <v>554</v>
      </c>
      <c r="E787" s="326">
        <v>610</v>
      </c>
      <c r="F787" s="159">
        <f>'ведом. 2025-2027'!AD413</f>
        <v>535</v>
      </c>
      <c r="G787" s="306"/>
      <c r="H787" s="522">
        <f>'ведом. 2025-2027'!AE413</f>
        <v>0</v>
      </c>
      <c r="I787" s="522"/>
      <c r="J787" s="522">
        <f>'ведом. 2025-2027'!AF413</f>
        <v>0</v>
      </c>
      <c r="K787" s="522"/>
      <c r="L787" s="154"/>
      <c r="N787" s="154"/>
      <c r="O787" s="154"/>
    </row>
    <row r="788" spans="1:15" s="138" customFormat="1" ht="31.5" x14ac:dyDescent="0.25">
      <c r="A788" s="256" t="s">
        <v>354</v>
      </c>
      <c r="B788" s="191" t="s">
        <v>16</v>
      </c>
      <c r="C788" s="4" t="s">
        <v>29</v>
      </c>
      <c r="D788" s="156" t="s">
        <v>494</v>
      </c>
      <c r="E788" s="326"/>
      <c r="F788" s="159">
        <f>F789+F792</f>
        <v>85695.4</v>
      </c>
      <c r="G788" s="306"/>
      <c r="H788" s="522">
        <f>H789+H792</f>
        <v>79609.5</v>
      </c>
      <c r="I788" s="522"/>
      <c r="J788" s="522">
        <f>J789+J792</f>
        <v>64032.5</v>
      </c>
      <c r="K788" s="522"/>
      <c r="L788" s="154"/>
      <c r="N788" s="154"/>
      <c r="O788" s="154"/>
    </row>
    <row r="789" spans="1:15" s="199" customFormat="1" ht="47.25" x14ac:dyDescent="0.25">
      <c r="A789" s="312" t="str">
        <f>'ведом. 2025-2027'!X415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89" s="201" t="str">
        <f>'ведом. 2025-2027'!Z415</f>
        <v>08</v>
      </c>
      <c r="C789" s="200" t="str">
        <f>'ведом. 2025-2027'!AA415</f>
        <v>01</v>
      </c>
      <c r="D789" s="156" t="s">
        <v>495</v>
      </c>
      <c r="E789" s="344"/>
      <c r="F789" s="197">
        <f t="shared" ref="F789:J790" si="217">F790</f>
        <v>41851.599999999999</v>
      </c>
      <c r="G789" s="352"/>
      <c r="H789" s="441">
        <f t="shared" si="217"/>
        <v>37761.300000000003</v>
      </c>
      <c r="I789" s="441"/>
      <c r="J789" s="441">
        <f t="shared" si="217"/>
        <v>21859.200000000001</v>
      </c>
      <c r="K789" s="441"/>
      <c r="L789" s="198"/>
      <c r="N789" s="198"/>
      <c r="O789" s="198"/>
    </row>
    <row r="790" spans="1:15" s="199" customFormat="1" ht="31.5" x14ac:dyDescent="0.25">
      <c r="A790" s="312" t="str">
        <f>'ведом. 2025-2027'!X416</f>
        <v>Предоставление субсидий бюджетным, автономным учреждениям и иным некоммерческим организациям</v>
      </c>
      <c r="B790" s="201" t="str">
        <f>'ведом. 2025-2027'!Z416</f>
        <v>08</v>
      </c>
      <c r="C790" s="200" t="str">
        <f>'ведом. 2025-2027'!AA416</f>
        <v>01</v>
      </c>
      <c r="D790" s="156" t="s">
        <v>495</v>
      </c>
      <c r="E790" s="344">
        <f>'ведом. 2025-2027'!AC416</f>
        <v>600</v>
      </c>
      <c r="F790" s="197">
        <f t="shared" si="217"/>
        <v>41851.599999999999</v>
      </c>
      <c r="G790" s="352"/>
      <c r="H790" s="441">
        <f t="shared" si="217"/>
        <v>37761.300000000003</v>
      </c>
      <c r="I790" s="441"/>
      <c r="J790" s="441">
        <f t="shared" si="217"/>
        <v>21859.200000000001</v>
      </c>
      <c r="K790" s="441"/>
      <c r="L790" s="198"/>
      <c r="N790" s="198"/>
      <c r="O790" s="198"/>
    </row>
    <row r="791" spans="1:15" s="199" customFormat="1" x14ac:dyDescent="0.25">
      <c r="A791" s="312" t="str">
        <f>'ведом. 2025-2027'!X417</f>
        <v>Субсидии бюджетным учреждениям</v>
      </c>
      <c r="B791" s="201" t="str">
        <f>'ведом. 2025-2027'!Z417</f>
        <v>08</v>
      </c>
      <c r="C791" s="200" t="str">
        <f>'ведом. 2025-2027'!AA417</f>
        <v>01</v>
      </c>
      <c r="D791" s="156" t="s">
        <v>495</v>
      </c>
      <c r="E791" s="344">
        <f>'ведом. 2025-2027'!AC417</f>
        <v>610</v>
      </c>
      <c r="F791" s="197">
        <f>'ведом. 2025-2027'!AD417</f>
        <v>41851.599999999999</v>
      </c>
      <c r="G791" s="352"/>
      <c r="H791" s="441">
        <f>'ведом. 2025-2027'!AE417</f>
        <v>37761.300000000003</v>
      </c>
      <c r="I791" s="441"/>
      <c r="J791" s="441">
        <f>'ведом. 2025-2027'!AF417</f>
        <v>21859.200000000001</v>
      </c>
      <c r="K791" s="441"/>
      <c r="L791" s="198"/>
      <c r="N791" s="198"/>
      <c r="O791" s="198"/>
    </row>
    <row r="792" spans="1:15" s="199" customFormat="1" ht="47.25" x14ac:dyDescent="0.25">
      <c r="A792" s="312" t="str">
        <f>'ведом. 2025-2027'!X418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92" s="201" t="str">
        <f>'ведом. 2025-2027'!Z418</f>
        <v>08</v>
      </c>
      <c r="C792" s="200" t="str">
        <f>'ведом. 2025-2027'!AA418</f>
        <v>01</v>
      </c>
      <c r="D792" s="156" t="s">
        <v>496</v>
      </c>
      <c r="E792" s="344"/>
      <c r="F792" s="197">
        <f>F793</f>
        <v>43843.8</v>
      </c>
      <c r="G792" s="352"/>
      <c r="H792" s="441">
        <f>H793</f>
        <v>41848.199999999997</v>
      </c>
      <c r="I792" s="441"/>
      <c r="J792" s="441">
        <f>J793</f>
        <v>42173.3</v>
      </c>
      <c r="K792" s="441"/>
      <c r="L792" s="198"/>
      <c r="N792" s="198"/>
      <c r="O792" s="198"/>
    </row>
    <row r="793" spans="1:15" s="199" customFormat="1" ht="31.5" x14ac:dyDescent="0.25">
      <c r="A793" s="312" t="str">
        <f>'ведом. 2025-2027'!X419</f>
        <v>Предоставление субсидий бюджетным, автономным учреждениям и иным некоммерческим организациям</v>
      </c>
      <c r="B793" s="201" t="str">
        <f>'ведом. 2025-2027'!Z419</f>
        <v>08</v>
      </c>
      <c r="C793" s="200" t="str">
        <f>'ведом. 2025-2027'!AA419</f>
        <v>01</v>
      </c>
      <c r="D793" s="156" t="s">
        <v>496</v>
      </c>
      <c r="E793" s="344">
        <f>'ведом. 2025-2027'!AC419</f>
        <v>600</v>
      </c>
      <c r="F793" s="197">
        <f>F794</f>
        <v>43843.8</v>
      </c>
      <c r="G793" s="352"/>
      <c r="H793" s="441">
        <f>H794</f>
        <v>41848.199999999997</v>
      </c>
      <c r="I793" s="441"/>
      <c r="J793" s="441">
        <f>J794</f>
        <v>42173.3</v>
      </c>
      <c r="K793" s="441"/>
      <c r="L793" s="198"/>
      <c r="N793" s="198"/>
      <c r="O793" s="198"/>
    </row>
    <row r="794" spans="1:15" s="199" customFormat="1" x14ac:dyDescent="0.25">
      <c r="A794" s="312" t="str">
        <f>'ведом. 2025-2027'!X420</f>
        <v>Субсидии бюджетным учреждениям</v>
      </c>
      <c r="B794" s="201" t="str">
        <f>'ведом. 2025-2027'!Z420</f>
        <v>08</v>
      </c>
      <c r="C794" s="200" t="str">
        <f>'ведом. 2025-2027'!AA420</f>
        <v>01</v>
      </c>
      <c r="D794" s="156" t="s">
        <v>496</v>
      </c>
      <c r="E794" s="344">
        <f>'ведом. 2025-2027'!AC420</f>
        <v>610</v>
      </c>
      <c r="F794" s="197">
        <f>'ведом. 2025-2027'!AD420</f>
        <v>43843.8</v>
      </c>
      <c r="G794" s="352"/>
      <c r="H794" s="441">
        <f>'ведом. 2025-2027'!AE420</f>
        <v>41848.199999999997</v>
      </c>
      <c r="I794" s="441"/>
      <c r="J794" s="441">
        <f>'ведом. 2025-2027'!AF420</f>
        <v>42173.3</v>
      </c>
      <c r="K794" s="441"/>
      <c r="L794" s="198"/>
      <c r="N794" s="198"/>
      <c r="O794" s="198"/>
    </row>
    <row r="795" spans="1:15" s="508" customFormat="1" ht="47.25" x14ac:dyDescent="0.25">
      <c r="A795" s="451" t="s">
        <v>807</v>
      </c>
      <c r="B795" s="453" t="s">
        <v>16</v>
      </c>
      <c r="C795" s="453" t="s">
        <v>29</v>
      </c>
      <c r="D795" s="542" t="s">
        <v>810</v>
      </c>
      <c r="E795" s="454"/>
      <c r="F795" s="441">
        <f>F796</f>
        <v>6000</v>
      </c>
      <c r="G795" s="441"/>
      <c r="H795" s="441">
        <f t="shared" ref="H795:J797" si="218">H796</f>
        <v>0</v>
      </c>
      <c r="I795" s="441"/>
      <c r="J795" s="441">
        <f t="shared" si="218"/>
        <v>0</v>
      </c>
      <c r="K795" s="441"/>
      <c r="L795" s="507"/>
      <c r="N795" s="507"/>
      <c r="O795" s="507"/>
    </row>
    <row r="796" spans="1:15" s="508" customFormat="1" x14ac:dyDescent="0.25">
      <c r="A796" s="451" t="s">
        <v>808</v>
      </c>
      <c r="B796" s="453" t="s">
        <v>16</v>
      </c>
      <c r="C796" s="453" t="s">
        <v>29</v>
      </c>
      <c r="D796" s="542" t="s">
        <v>809</v>
      </c>
      <c r="E796" s="454"/>
      <c r="F796" s="441">
        <f>F797</f>
        <v>6000</v>
      </c>
      <c r="G796" s="441"/>
      <c r="H796" s="441">
        <f t="shared" si="218"/>
        <v>0</v>
      </c>
      <c r="I796" s="441"/>
      <c r="J796" s="441">
        <f t="shared" si="218"/>
        <v>0</v>
      </c>
      <c r="K796" s="441"/>
      <c r="L796" s="507"/>
      <c r="N796" s="507"/>
      <c r="O796" s="507"/>
    </row>
    <row r="797" spans="1:15" s="508" customFormat="1" ht="31.5" x14ac:dyDescent="0.25">
      <c r="A797" s="451" t="s">
        <v>60</v>
      </c>
      <c r="B797" s="453" t="s">
        <v>16</v>
      </c>
      <c r="C797" s="453" t="s">
        <v>29</v>
      </c>
      <c r="D797" s="542" t="s">
        <v>809</v>
      </c>
      <c r="E797" s="454">
        <v>600</v>
      </c>
      <c r="F797" s="441">
        <f>F798</f>
        <v>6000</v>
      </c>
      <c r="G797" s="441"/>
      <c r="H797" s="441">
        <f t="shared" si="218"/>
        <v>0</v>
      </c>
      <c r="I797" s="441"/>
      <c r="J797" s="441">
        <f t="shared" si="218"/>
        <v>0</v>
      </c>
      <c r="K797" s="441"/>
      <c r="L797" s="507"/>
      <c r="N797" s="507"/>
      <c r="O797" s="507"/>
    </row>
    <row r="798" spans="1:15" s="508" customFormat="1" x14ac:dyDescent="0.25">
      <c r="A798" s="451" t="s">
        <v>61</v>
      </c>
      <c r="B798" s="453" t="s">
        <v>16</v>
      </c>
      <c r="C798" s="453" t="s">
        <v>29</v>
      </c>
      <c r="D798" s="542" t="s">
        <v>809</v>
      </c>
      <c r="E798" s="454">
        <v>610</v>
      </c>
      <c r="F798" s="441">
        <f>'ведом. 2025-2027'!AD424</f>
        <v>6000</v>
      </c>
      <c r="G798" s="352"/>
      <c r="H798" s="441">
        <f>'ведом. 2025-2027'!AE424</f>
        <v>0</v>
      </c>
      <c r="I798" s="441"/>
      <c r="J798" s="441">
        <f>'ведом. 2025-2027'!AF424</f>
        <v>0</v>
      </c>
      <c r="K798" s="441"/>
      <c r="L798" s="507"/>
      <c r="N798" s="507"/>
      <c r="O798" s="507"/>
    </row>
    <row r="799" spans="1:15" s="199" customFormat="1" ht="31.5" x14ac:dyDescent="0.25">
      <c r="A799" s="253" t="s">
        <v>635</v>
      </c>
      <c r="B799" s="1" t="s">
        <v>16</v>
      </c>
      <c r="C799" s="4" t="s">
        <v>29</v>
      </c>
      <c r="D799" s="291" t="s">
        <v>636</v>
      </c>
      <c r="E799" s="429"/>
      <c r="F799" s="197">
        <f>F800</f>
        <v>1440.5</v>
      </c>
      <c r="G799" s="197">
        <f t="shared" ref="G799:J801" si="219">G800</f>
        <v>1440.5</v>
      </c>
      <c r="H799" s="441">
        <f t="shared" si="219"/>
        <v>345.5</v>
      </c>
      <c r="I799" s="441">
        <f t="shared" si="219"/>
        <v>345.5</v>
      </c>
      <c r="J799" s="441">
        <f t="shared" si="219"/>
        <v>0</v>
      </c>
      <c r="K799" s="441"/>
      <c r="L799" s="198"/>
      <c r="N799" s="198"/>
      <c r="O799" s="198"/>
    </row>
    <row r="800" spans="1:15" s="199" customFormat="1" ht="31.5" x14ac:dyDescent="0.25">
      <c r="A800" s="253" t="s">
        <v>637</v>
      </c>
      <c r="B800" s="1" t="s">
        <v>16</v>
      </c>
      <c r="C800" s="4" t="s">
        <v>29</v>
      </c>
      <c r="D800" s="291" t="s">
        <v>638</v>
      </c>
      <c r="E800" s="429"/>
      <c r="F800" s="197">
        <f>F801</f>
        <v>1440.5</v>
      </c>
      <c r="G800" s="197">
        <f t="shared" si="219"/>
        <v>1440.5</v>
      </c>
      <c r="H800" s="441">
        <f t="shared" si="219"/>
        <v>345.5</v>
      </c>
      <c r="I800" s="441">
        <f t="shared" si="219"/>
        <v>345.5</v>
      </c>
      <c r="J800" s="441">
        <f t="shared" si="219"/>
        <v>0</v>
      </c>
      <c r="K800" s="441"/>
      <c r="L800" s="198"/>
      <c r="N800" s="198"/>
      <c r="O800" s="198"/>
    </row>
    <row r="801" spans="1:15" s="199" customFormat="1" ht="31.5" x14ac:dyDescent="0.25">
      <c r="A801" s="253" t="s">
        <v>60</v>
      </c>
      <c r="B801" s="1" t="s">
        <v>16</v>
      </c>
      <c r="C801" s="4" t="s">
        <v>29</v>
      </c>
      <c r="D801" s="291" t="s">
        <v>638</v>
      </c>
      <c r="E801" s="429">
        <v>600</v>
      </c>
      <c r="F801" s="197">
        <f>F802</f>
        <v>1440.5</v>
      </c>
      <c r="G801" s="197">
        <f t="shared" si="219"/>
        <v>1440.5</v>
      </c>
      <c r="H801" s="441">
        <f t="shared" si="219"/>
        <v>345.5</v>
      </c>
      <c r="I801" s="441">
        <f t="shared" si="219"/>
        <v>345.5</v>
      </c>
      <c r="J801" s="441">
        <f t="shared" si="219"/>
        <v>0</v>
      </c>
      <c r="K801" s="441"/>
      <c r="L801" s="198"/>
      <c r="N801" s="198"/>
      <c r="O801" s="198"/>
    </row>
    <row r="802" spans="1:15" s="199" customFormat="1" x14ac:dyDescent="0.25">
      <c r="A802" s="253" t="s">
        <v>61</v>
      </c>
      <c r="B802" s="1" t="s">
        <v>16</v>
      </c>
      <c r="C802" s="4" t="s">
        <v>29</v>
      </c>
      <c r="D802" s="291" t="s">
        <v>638</v>
      </c>
      <c r="E802" s="429">
        <v>610</v>
      </c>
      <c r="F802" s="197">
        <f>'ведом. 2025-2027'!AD428</f>
        <v>1440.5</v>
      </c>
      <c r="G802" s="352">
        <f>F802</f>
        <v>1440.5</v>
      </c>
      <c r="H802" s="441">
        <f>'ведом. 2025-2027'!AE428</f>
        <v>345.5</v>
      </c>
      <c r="I802" s="441">
        <f>H802</f>
        <v>345.5</v>
      </c>
      <c r="J802" s="441">
        <f>'ведом. 2025-2027'!AF428</f>
        <v>0</v>
      </c>
      <c r="K802" s="441"/>
      <c r="L802" s="198"/>
      <c r="N802" s="198"/>
      <c r="O802" s="198"/>
    </row>
    <row r="803" spans="1:15" s="508" customFormat="1" x14ac:dyDescent="0.25">
      <c r="A803" s="259" t="s">
        <v>242</v>
      </c>
      <c r="B803" s="515" t="s">
        <v>16</v>
      </c>
      <c r="C803" s="516" t="s">
        <v>29</v>
      </c>
      <c r="D803" s="291" t="s">
        <v>243</v>
      </c>
      <c r="E803" s="460"/>
      <c r="F803" s="441">
        <f t="shared" ref="F803:F808" si="220">F804</f>
        <v>18637.3</v>
      </c>
      <c r="G803" s="441"/>
      <c r="H803" s="441">
        <f t="shared" ref="H803:J808" si="221">H804</f>
        <v>21472</v>
      </c>
      <c r="I803" s="441"/>
      <c r="J803" s="441">
        <f t="shared" si="221"/>
        <v>22352</v>
      </c>
      <c r="K803" s="441"/>
      <c r="L803" s="507"/>
      <c r="N803" s="507"/>
      <c r="O803" s="507"/>
    </row>
    <row r="804" spans="1:15" s="508" customFormat="1" ht="31.5" x14ac:dyDescent="0.25">
      <c r="A804" s="275" t="s">
        <v>540</v>
      </c>
      <c r="B804" s="515" t="s">
        <v>16</v>
      </c>
      <c r="C804" s="516" t="s">
        <v>29</v>
      </c>
      <c r="D804" s="291" t="s">
        <v>244</v>
      </c>
      <c r="E804" s="460"/>
      <c r="F804" s="441">
        <f t="shared" si="220"/>
        <v>18637.3</v>
      </c>
      <c r="G804" s="441"/>
      <c r="H804" s="441">
        <f t="shared" si="221"/>
        <v>21472</v>
      </c>
      <c r="I804" s="441"/>
      <c r="J804" s="441">
        <f t="shared" si="221"/>
        <v>22352</v>
      </c>
      <c r="K804" s="441"/>
      <c r="L804" s="507"/>
      <c r="N804" s="507"/>
      <c r="O804" s="507"/>
    </row>
    <row r="805" spans="1:15" s="508" customFormat="1" ht="31.5" x14ac:dyDescent="0.25">
      <c r="A805" s="257" t="s">
        <v>541</v>
      </c>
      <c r="B805" s="515" t="s">
        <v>16</v>
      </c>
      <c r="C805" s="516" t="s">
        <v>29</v>
      </c>
      <c r="D805" s="291" t="s">
        <v>245</v>
      </c>
      <c r="E805" s="460"/>
      <c r="F805" s="441">
        <f t="shared" si="220"/>
        <v>18637.3</v>
      </c>
      <c r="G805" s="441"/>
      <c r="H805" s="441">
        <f t="shared" si="221"/>
        <v>21472</v>
      </c>
      <c r="I805" s="441"/>
      <c r="J805" s="441">
        <f t="shared" si="221"/>
        <v>22352</v>
      </c>
      <c r="K805" s="441"/>
      <c r="L805" s="507"/>
      <c r="N805" s="507"/>
      <c r="O805" s="507"/>
    </row>
    <row r="806" spans="1:15" s="508" customFormat="1" x14ac:dyDescent="0.25">
      <c r="A806" s="257" t="s">
        <v>632</v>
      </c>
      <c r="B806" s="515" t="s">
        <v>16</v>
      </c>
      <c r="C806" s="516" t="s">
        <v>29</v>
      </c>
      <c r="D806" s="156" t="s">
        <v>633</v>
      </c>
      <c r="E806" s="460"/>
      <c r="F806" s="441">
        <f t="shared" si="220"/>
        <v>18637.3</v>
      </c>
      <c r="G806" s="441"/>
      <c r="H806" s="441">
        <f t="shared" si="221"/>
        <v>21472</v>
      </c>
      <c r="I806" s="441"/>
      <c r="J806" s="441">
        <f t="shared" si="221"/>
        <v>22352</v>
      </c>
      <c r="K806" s="441"/>
      <c r="L806" s="507"/>
      <c r="N806" s="507"/>
      <c r="O806" s="507"/>
    </row>
    <row r="807" spans="1:15" s="508" customFormat="1" x14ac:dyDescent="0.25">
      <c r="A807" s="257" t="s">
        <v>725</v>
      </c>
      <c r="B807" s="515" t="s">
        <v>16</v>
      </c>
      <c r="C807" s="516" t="s">
        <v>29</v>
      </c>
      <c r="D807" s="156" t="s">
        <v>690</v>
      </c>
      <c r="E807" s="526"/>
      <c r="F807" s="441">
        <f t="shared" si="220"/>
        <v>18637.3</v>
      </c>
      <c r="G807" s="441"/>
      <c r="H807" s="441">
        <f t="shared" si="221"/>
        <v>21472</v>
      </c>
      <c r="I807" s="441"/>
      <c r="J807" s="441">
        <f t="shared" si="221"/>
        <v>22352</v>
      </c>
      <c r="K807" s="441"/>
      <c r="L807" s="507"/>
      <c r="N807" s="507"/>
      <c r="O807" s="507"/>
    </row>
    <row r="808" spans="1:15" s="508" customFormat="1" ht="31.5" x14ac:dyDescent="0.25">
      <c r="A808" s="523" t="s">
        <v>60</v>
      </c>
      <c r="B808" s="515" t="s">
        <v>16</v>
      </c>
      <c r="C808" s="516" t="s">
        <v>29</v>
      </c>
      <c r="D808" s="156" t="s">
        <v>690</v>
      </c>
      <c r="E808" s="526">
        <v>600</v>
      </c>
      <c r="F808" s="441">
        <f t="shared" si="220"/>
        <v>18637.3</v>
      </c>
      <c r="G808" s="441"/>
      <c r="H808" s="441">
        <f t="shared" si="221"/>
        <v>21472</v>
      </c>
      <c r="I808" s="441"/>
      <c r="J808" s="441">
        <f t="shared" si="221"/>
        <v>22352</v>
      </c>
      <c r="K808" s="441"/>
      <c r="L808" s="507"/>
      <c r="N808" s="507"/>
      <c r="O808" s="507"/>
    </row>
    <row r="809" spans="1:15" s="508" customFormat="1" x14ac:dyDescent="0.25">
      <c r="A809" s="523" t="s">
        <v>61</v>
      </c>
      <c r="B809" s="515" t="s">
        <v>16</v>
      </c>
      <c r="C809" s="516" t="s">
        <v>29</v>
      </c>
      <c r="D809" s="156" t="s">
        <v>690</v>
      </c>
      <c r="E809" s="526">
        <v>610</v>
      </c>
      <c r="F809" s="441">
        <f>'ведом. 2025-2027'!AD435</f>
        <v>18637.3</v>
      </c>
      <c r="G809" s="352"/>
      <c r="H809" s="441">
        <f>'ведом. 2025-2027'!AE435</f>
        <v>21472</v>
      </c>
      <c r="I809" s="441"/>
      <c r="J809" s="441">
        <f>'ведом. 2025-2027'!AF435</f>
        <v>22352</v>
      </c>
      <c r="K809" s="441"/>
      <c r="L809" s="507"/>
      <c r="N809" s="507"/>
      <c r="O809" s="507"/>
    </row>
    <row r="810" spans="1:15" s="508" customFormat="1" x14ac:dyDescent="0.25">
      <c r="A810" s="451" t="s">
        <v>762</v>
      </c>
      <c r="B810" s="453" t="s">
        <v>22</v>
      </c>
      <c r="C810" s="454"/>
      <c r="D810" s="458"/>
      <c r="E810" s="460"/>
      <c r="F810" s="441">
        <f t="shared" ref="F810:F816" si="222">F811</f>
        <v>650</v>
      </c>
      <c r="G810" s="441"/>
      <c r="H810" s="441">
        <f t="shared" ref="H810:J810" si="223">H811</f>
        <v>0</v>
      </c>
      <c r="I810" s="441"/>
      <c r="J810" s="441">
        <f t="shared" si="223"/>
        <v>0</v>
      </c>
      <c r="K810" s="441"/>
      <c r="L810" s="507"/>
      <c r="N810" s="507"/>
      <c r="O810" s="507"/>
    </row>
    <row r="811" spans="1:15" s="508" customFormat="1" x14ac:dyDescent="0.25">
      <c r="A811" s="451" t="s">
        <v>763</v>
      </c>
      <c r="B811" s="453" t="s">
        <v>22</v>
      </c>
      <c r="C811" s="454" t="s">
        <v>22</v>
      </c>
      <c r="D811" s="458"/>
      <c r="E811" s="460"/>
      <c r="F811" s="441">
        <f t="shared" si="222"/>
        <v>650</v>
      </c>
      <c r="G811" s="441"/>
      <c r="H811" s="441">
        <f t="shared" ref="H811:J811" si="224">H812</f>
        <v>0</v>
      </c>
      <c r="I811" s="441"/>
      <c r="J811" s="441">
        <f t="shared" si="224"/>
        <v>0</v>
      </c>
      <c r="K811" s="441"/>
      <c r="L811" s="507"/>
      <c r="N811" s="507"/>
      <c r="O811" s="507"/>
    </row>
    <row r="812" spans="1:15" s="508" customFormat="1" x14ac:dyDescent="0.25">
      <c r="A812" s="451" t="s">
        <v>764</v>
      </c>
      <c r="B812" s="453" t="s">
        <v>22</v>
      </c>
      <c r="C812" s="454" t="s">
        <v>22</v>
      </c>
      <c r="D812" s="458" t="s">
        <v>765</v>
      </c>
      <c r="E812" s="460"/>
      <c r="F812" s="441">
        <f t="shared" si="222"/>
        <v>650</v>
      </c>
      <c r="G812" s="441"/>
      <c r="H812" s="441">
        <f t="shared" ref="H812:J812" si="225">H813</f>
        <v>0</v>
      </c>
      <c r="I812" s="441"/>
      <c r="J812" s="441">
        <f t="shared" si="225"/>
        <v>0</v>
      </c>
      <c r="K812" s="441"/>
      <c r="L812" s="507"/>
      <c r="N812" s="507"/>
      <c r="O812" s="507"/>
    </row>
    <row r="813" spans="1:15" s="508" customFormat="1" x14ac:dyDescent="0.25">
      <c r="A813" s="451" t="s">
        <v>766</v>
      </c>
      <c r="B813" s="453" t="s">
        <v>22</v>
      </c>
      <c r="C813" s="454" t="s">
        <v>22</v>
      </c>
      <c r="D813" s="458" t="s">
        <v>767</v>
      </c>
      <c r="E813" s="460"/>
      <c r="F813" s="441">
        <f t="shared" si="222"/>
        <v>650</v>
      </c>
      <c r="G813" s="441"/>
      <c r="H813" s="441">
        <f t="shared" ref="H813:J813" si="226">H814</f>
        <v>0</v>
      </c>
      <c r="I813" s="441"/>
      <c r="J813" s="441">
        <f t="shared" si="226"/>
        <v>0</v>
      </c>
      <c r="K813" s="441"/>
      <c r="L813" s="507"/>
      <c r="N813" s="507"/>
      <c r="O813" s="507"/>
    </row>
    <row r="814" spans="1:15" s="508" customFormat="1" ht="31.5" x14ac:dyDescent="0.25">
      <c r="A814" s="451" t="s">
        <v>768</v>
      </c>
      <c r="B814" s="453" t="s">
        <v>22</v>
      </c>
      <c r="C814" s="454" t="s">
        <v>22</v>
      </c>
      <c r="D814" s="458" t="s">
        <v>769</v>
      </c>
      <c r="E814" s="460"/>
      <c r="F814" s="441">
        <f t="shared" si="222"/>
        <v>650</v>
      </c>
      <c r="G814" s="441"/>
      <c r="H814" s="441">
        <f t="shared" ref="H814:J814" si="227">H815</f>
        <v>0</v>
      </c>
      <c r="I814" s="441"/>
      <c r="J814" s="441">
        <f t="shared" si="227"/>
        <v>0</v>
      </c>
      <c r="K814" s="441"/>
      <c r="L814" s="507"/>
      <c r="N814" s="507"/>
      <c r="O814" s="507"/>
    </row>
    <row r="815" spans="1:15" s="508" customFormat="1" ht="47.25" x14ac:dyDescent="0.25">
      <c r="A815" s="451" t="s">
        <v>771</v>
      </c>
      <c r="B815" s="453" t="s">
        <v>22</v>
      </c>
      <c r="C815" s="454" t="s">
        <v>22</v>
      </c>
      <c r="D815" s="458" t="s">
        <v>770</v>
      </c>
      <c r="E815" s="460"/>
      <c r="F815" s="441">
        <f t="shared" si="222"/>
        <v>650</v>
      </c>
      <c r="G815" s="441"/>
      <c r="H815" s="441">
        <f t="shared" ref="H815:J815" si="228">H816</f>
        <v>0</v>
      </c>
      <c r="I815" s="441"/>
      <c r="J815" s="441">
        <f t="shared" si="228"/>
        <v>0</v>
      </c>
      <c r="K815" s="441"/>
      <c r="L815" s="507"/>
      <c r="N815" s="507"/>
      <c r="O815" s="507"/>
    </row>
    <row r="816" spans="1:15" s="508" customFormat="1" x14ac:dyDescent="0.25">
      <c r="A816" s="479" t="s">
        <v>97</v>
      </c>
      <c r="B816" s="453" t="s">
        <v>22</v>
      </c>
      <c r="C816" s="454" t="s">
        <v>22</v>
      </c>
      <c r="D816" s="458" t="s">
        <v>770</v>
      </c>
      <c r="E816" s="454">
        <v>300</v>
      </c>
      <c r="F816" s="441">
        <f t="shared" si="222"/>
        <v>650</v>
      </c>
      <c r="G816" s="441"/>
      <c r="H816" s="441">
        <f t="shared" ref="H816:J816" si="229">H817</f>
        <v>0</v>
      </c>
      <c r="I816" s="441"/>
      <c r="J816" s="441">
        <f t="shared" si="229"/>
        <v>0</v>
      </c>
      <c r="K816" s="441"/>
      <c r="L816" s="507"/>
      <c r="N816" s="507"/>
      <c r="O816" s="507"/>
    </row>
    <row r="817" spans="1:15" s="508" customFormat="1" x14ac:dyDescent="0.25">
      <c r="A817" s="479" t="s">
        <v>40</v>
      </c>
      <c r="B817" s="453" t="s">
        <v>22</v>
      </c>
      <c r="C817" s="454" t="s">
        <v>22</v>
      </c>
      <c r="D817" s="458" t="s">
        <v>770</v>
      </c>
      <c r="E817" s="454">
        <v>320</v>
      </c>
      <c r="F817" s="441">
        <f>'ведом. 2025-2027'!AD443</f>
        <v>650</v>
      </c>
      <c r="G817" s="352"/>
      <c r="H817" s="441">
        <f>'ведом. 2025-2027'!AE443</f>
        <v>0</v>
      </c>
      <c r="I817" s="441"/>
      <c r="J817" s="441">
        <f>'ведом. 2025-2027'!AF443</f>
        <v>0</v>
      </c>
      <c r="K817" s="441"/>
      <c r="L817" s="507"/>
      <c r="N817" s="507"/>
      <c r="O817" s="507"/>
    </row>
    <row r="818" spans="1:15" s="138" customFormat="1" x14ac:dyDescent="0.25">
      <c r="A818" s="384" t="s">
        <v>94</v>
      </c>
      <c r="B818" s="193" t="s">
        <v>36</v>
      </c>
      <c r="C818" s="183"/>
      <c r="D818" s="280"/>
      <c r="E818" s="330"/>
      <c r="F818" s="161">
        <f t="shared" ref="F818:K818" si="230">F819+F837+F864+F826</f>
        <v>55344.3</v>
      </c>
      <c r="G818" s="347">
        <f t="shared" si="230"/>
        <v>38275</v>
      </c>
      <c r="H818" s="161">
        <f t="shared" si="230"/>
        <v>56773.4</v>
      </c>
      <c r="I818" s="161">
        <f>I819+I837+I864+I826</f>
        <v>34322.199999999997</v>
      </c>
      <c r="J818" s="161">
        <f t="shared" si="230"/>
        <v>54173.5</v>
      </c>
      <c r="K818" s="161">
        <f t="shared" si="230"/>
        <v>31601</v>
      </c>
      <c r="L818" s="154"/>
      <c r="N818" s="154"/>
      <c r="O818" s="154"/>
    </row>
    <row r="819" spans="1:15" s="138" customFormat="1" x14ac:dyDescent="0.25">
      <c r="A819" s="375" t="s">
        <v>55</v>
      </c>
      <c r="B819" s="191">
        <v>10</v>
      </c>
      <c r="C819" s="4" t="s">
        <v>29</v>
      </c>
      <c r="D819" s="26"/>
      <c r="E819" s="337"/>
      <c r="F819" s="159">
        <f>F820</f>
        <v>9007</v>
      </c>
      <c r="G819" s="306"/>
      <c r="H819" s="522">
        <f>H820</f>
        <v>9007</v>
      </c>
      <c r="I819" s="522"/>
      <c r="J819" s="522">
        <f>J820</f>
        <v>9007</v>
      </c>
      <c r="K819" s="522"/>
      <c r="L819" s="154"/>
      <c r="N819" s="154"/>
      <c r="O819" s="154"/>
    </row>
    <row r="820" spans="1:15" s="138" customFormat="1" x14ac:dyDescent="0.25">
      <c r="A820" s="255" t="s">
        <v>292</v>
      </c>
      <c r="B820" s="191">
        <v>10</v>
      </c>
      <c r="C820" s="4" t="s">
        <v>29</v>
      </c>
      <c r="D820" s="156" t="s">
        <v>109</v>
      </c>
      <c r="E820" s="337"/>
      <c r="F820" s="159">
        <f>F822</f>
        <v>9007</v>
      </c>
      <c r="G820" s="306"/>
      <c r="H820" s="522">
        <f>H822</f>
        <v>9007</v>
      </c>
      <c r="I820" s="522"/>
      <c r="J820" s="522">
        <f>J822</f>
        <v>9007</v>
      </c>
      <c r="K820" s="522"/>
      <c r="L820" s="154"/>
      <c r="N820" s="154"/>
      <c r="O820" s="154"/>
    </row>
    <row r="821" spans="1:15" s="177" customFormat="1" x14ac:dyDescent="0.25">
      <c r="A821" s="275" t="s">
        <v>293</v>
      </c>
      <c r="B821" s="191">
        <v>10</v>
      </c>
      <c r="C821" s="4" t="s">
        <v>29</v>
      </c>
      <c r="D821" s="156" t="s">
        <v>118</v>
      </c>
      <c r="E821" s="337"/>
      <c r="F821" s="159">
        <f>F822</f>
        <v>9007</v>
      </c>
      <c r="G821" s="306"/>
      <c r="H821" s="522">
        <f>H822</f>
        <v>9007</v>
      </c>
      <c r="I821" s="522"/>
      <c r="J821" s="522">
        <f>J822</f>
        <v>9007</v>
      </c>
      <c r="K821" s="522"/>
      <c r="L821" s="154"/>
      <c r="N821" s="154"/>
      <c r="O821" s="154"/>
    </row>
    <row r="822" spans="1:15" s="138" customFormat="1" ht="31.5" x14ac:dyDescent="0.25">
      <c r="A822" s="259" t="s">
        <v>466</v>
      </c>
      <c r="B822" s="191">
        <v>10</v>
      </c>
      <c r="C822" s="4" t="s">
        <v>29</v>
      </c>
      <c r="D822" s="156" t="s">
        <v>465</v>
      </c>
      <c r="E822" s="337"/>
      <c r="F822" s="159">
        <f>F825</f>
        <v>9007</v>
      </c>
      <c r="G822" s="306"/>
      <c r="H822" s="522">
        <f>H825</f>
        <v>9007</v>
      </c>
      <c r="I822" s="522"/>
      <c r="J822" s="522">
        <f>J825</f>
        <v>9007</v>
      </c>
      <c r="K822" s="522"/>
      <c r="L822" s="154"/>
      <c r="N822" s="154"/>
      <c r="O822" s="154"/>
    </row>
    <row r="823" spans="1:15" s="138" customFormat="1" ht="31.5" x14ac:dyDescent="0.25">
      <c r="A823" s="257" t="s">
        <v>295</v>
      </c>
      <c r="B823" s="191">
        <v>10</v>
      </c>
      <c r="C823" s="4" t="s">
        <v>29</v>
      </c>
      <c r="D823" s="156" t="s">
        <v>464</v>
      </c>
      <c r="E823" s="337"/>
      <c r="F823" s="159">
        <f>F824</f>
        <v>9007</v>
      </c>
      <c r="G823" s="306"/>
      <c r="H823" s="522">
        <f>H824</f>
        <v>9007</v>
      </c>
      <c r="I823" s="522"/>
      <c r="J823" s="522">
        <f>J824</f>
        <v>9007</v>
      </c>
      <c r="K823" s="522"/>
      <c r="L823" s="154"/>
      <c r="N823" s="154"/>
      <c r="O823" s="154"/>
    </row>
    <row r="824" spans="1:15" s="138" customFormat="1" x14ac:dyDescent="0.25">
      <c r="A824" s="375" t="s">
        <v>97</v>
      </c>
      <c r="B824" s="191">
        <v>10</v>
      </c>
      <c r="C824" s="4" t="s">
        <v>29</v>
      </c>
      <c r="D824" s="156" t="s">
        <v>464</v>
      </c>
      <c r="E824" s="326">
        <v>300</v>
      </c>
      <c r="F824" s="159">
        <f>F825</f>
        <v>9007</v>
      </c>
      <c r="G824" s="306"/>
      <c r="H824" s="522">
        <f>H825</f>
        <v>9007</v>
      </c>
      <c r="I824" s="522"/>
      <c r="J824" s="522">
        <f>J825</f>
        <v>9007</v>
      </c>
      <c r="K824" s="522"/>
      <c r="L824" s="154"/>
      <c r="N824" s="154"/>
      <c r="O824" s="154"/>
    </row>
    <row r="825" spans="1:15" s="138" customFormat="1" x14ac:dyDescent="0.25">
      <c r="A825" s="375" t="s">
        <v>40</v>
      </c>
      <c r="B825" s="191">
        <v>10</v>
      </c>
      <c r="C825" s="4" t="s">
        <v>29</v>
      </c>
      <c r="D825" s="156" t="s">
        <v>464</v>
      </c>
      <c r="E825" s="326">
        <v>320</v>
      </c>
      <c r="F825" s="159">
        <f>'ведом. 2025-2027'!AD451+'ведом. 2025-2027'!AD533+'ведом. 2025-2027'!AD567+'ведом. 2025-2027'!AD615+'ведом. 2025-2027'!AD786+'ведом. 2025-2027'!AD980+'ведом. 2025-2027'!AD1036</f>
        <v>9007</v>
      </c>
      <c r="G825" s="306"/>
      <c r="H825" s="522">
        <f>'ведом. 2025-2027'!AE1036+'ведом. 2025-2027'!AE980+'ведом. 2025-2027'!AE786+'ведом. 2025-2027'!AE615+'ведом. 2025-2027'!AE567+'ведом. 2025-2027'!AE533+'ведом. 2025-2027'!AE451</f>
        <v>9007</v>
      </c>
      <c r="I825" s="522"/>
      <c r="J825" s="522">
        <f>'ведом. 2025-2027'!AF451+'ведом. 2025-2027'!AF533+'ведом. 2025-2027'!AF567+'ведом. 2025-2027'!AF615+'ведом. 2025-2027'!AF786+'ведом. 2025-2027'!AF980+'ведом. 2025-2027'!AF1036</f>
        <v>9007</v>
      </c>
      <c r="K825" s="522"/>
      <c r="L825" s="154"/>
      <c r="N825" s="154"/>
      <c r="O825" s="154"/>
    </row>
    <row r="826" spans="1:15" s="177" customFormat="1" x14ac:dyDescent="0.25">
      <c r="A826" s="253" t="s">
        <v>58</v>
      </c>
      <c r="B826" s="191">
        <v>10</v>
      </c>
      <c r="C826" s="4" t="s">
        <v>7</v>
      </c>
      <c r="D826" s="156"/>
      <c r="E826" s="326"/>
      <c r="F826" s="159">
        <f>F828+F833</f>
        <v>331</v>
      </c>
      <c r="G826" s="522"/>
      <c r="H826" s="522">
        <f t="shared" ref="H826:J826" si="231">H828+H833</f>
        <v>2990</v>
      </c>
      <c r="I826" s="522">
        <f t="shared" si="231"/>
        <v>2990</v>
      </c>
      <c r="J826" s="522">
        <f t="shared" si="231"/>
        <v>0</v>
      </c>
      <c r="K826" s="522"/>
      <c r="L826" s="154"/>
      <c r="N826" s="154"/>
      <c r="O826" s="154"/>
    </row>
    <row r="827" spans="1:15" s="519" customFormat="1" x14ac:dyDescent="0.25">
      <c r="A827" s="457" t="s">
        <v>181</v>
      </c>
      <c r="B827" s="453">
        <v>10</v>
      </c>
      <c r="C827" s="454" t="s">
        <v>7</v>
      </c>
      <c r="D827" s="458" t="s">
        <v>116</v>
      </c>
      <c r="E827" s="326"/>
      <c r="F827" s="522">
        <f>F828</f>
        <v>0</v>
      </c>
      <c r="G827" s="522"/>
      <c r="H827" s="522">
        <f t="shared" ref="H827:J827" si="232">H828</f>
        <v>2990</v>
      </c>
      <c r="I827" s="522">
        <f t="shared" si="232"/>
        <v>2990</v>
      </c>
      <c r="J827" s="522">
        <f t="shared" si="232"/>
        <v>0</v>
      </c>
      <c r="K827" s="522"/>
      <c r="L827" s="521"/>
      <c r="N827" s="521"/>
      <c r="O827" s="521"/>
    </row>
    <row r="828" spans="1:15" s="519" customFormat="1" ht="31.5" x14ac:dyDescent="0.25">
      <c r="A828" s="451" t="s">
        <v>671</v>
      </c>
      <c r="B828" s="453">
        <v>10</v>
      </c>
      <c r="C828" s="454" t="s">
        <v>7</v>
      </c>
      <c r="D828" s="458" t="s">
        <v>672</v>
      </c>
      <c r="E828" s="460"/>
      <c r="F828" s="522">
        <f>F829</f>
        <v>0</v>
      </c>
      <c r="G828" s="522"/>
      <c r="H828" s="522">
        <f t="shared" ref="H828:J831" si="233">H829</f>
        <v>2990</v>
      </c>
      <c r="I828" s="522">
        <f t="shared" si="233"/>
        <v>2990</v>
      </c>
      <c r="J828" s="522">
        <f t="shared" si="233"/>
        <v>0</v>
      </c>
      <c r="K828" s="522"/>
      <c r="L828" s="521"/>
      <c r="N828" s="521"/>
      <c r="O828" s="521"/>
    </row>
    <row r="829" spans="1:15" s="519" customFormat="1" ht="47.25" x14ac:dyDescent="0.25">
      <c r="A829" s="451" t="s">
        <v>674</v>
      </c>
      <c r="B829" s="453">
        <v>10</v>
      </c>
      <c r="C829" s="454" t="s">
        <v>7</v>
      </c>
      <c r="D829" s="458" t="s">
        <v>673</v>
      </c>
      <c r="E829" s="460"/>
      <c r="F829" s="522">
        <f>F830</f>
        <v>0</v>
      </c>
      <c r="G829" s="522"/>
      <c r="H829" s="522">
        <f t="shared" si="233"/>
        <v>2990</v>
      </c>
      <c r="I829" s="522">
        <f t="shared" si="233"/>
        <v>2990</v>
      </c>
      <c r="J829" s="522">
        <f t="shared" si="233"/>
        <v>0</v>
      </c>
      <c r="K829" s="522"/>
      <c r="L829" s="521"/>
      <c r="N829" s="521"/>
      <c r="O829" s="521"/>
    </row>
    <row r="830" spans="1:15" s="519" customFormat="1" ht="47.25" x14ac:dyDescent="0.25">
      <c r="A830" s="451" t="s">
        <v>676</v>
      </c>
      <c r="B830" s="453">
        <v>10</v>
      </c>
      <c r="C830" s="454" t="s">
        <v>7</v>
      </c>
      <c r="D830" s="458" t="s">
        <v>675</v>
      </c>
      <c r="E830" s="460"/>
      <c r="F830" s="522">
        <f>F831</f>
        <v>0</v>
      </c>
      <c r="G830" s="522"/>
      <c r="H830" s="522">
        <f t="shared" si="233"/>
        <v>2990</v>
      </c>
      <c r="I830" s="522">
        <f t="shared" si="233"/>
        <v>2990</v>
      </c>
      <c r="J830" s="522">
        <f t="shared" si="233"/>
        <v>0</v>
      </c>
      <c r="K830" s="522"/>
      <c r="L830" s="521"/>
      <c r="N830" s="521"/>
      <c r="O830" s="521"/>
    </row>
    <row r="831" spans="1:15" s="519" customFormat="1" x14ac:dyDescent="0.25">
      <c r="A831" s="451" t="s">
        <v>97</v>
      </c>
      <c r="B831" s="453">
        <v>10</v>
      </c>
      <c r="C831" s="454" t="s">
        <v>7</v>
      </c>
      <c r="D831" s="458" t="s">
        <v>675</v>
      </c>
      <c r="E831" s="460">
        <v>300</v>
      </c>
      <c r="F831" s="522">
        <f>F832</f>
        <v>0</v>
      </c>
      <c r="G831" s="522"/>
      <c r="H831" s="522">
        <f t="shared" si="233"/>
        <v>2990</v>
      </c>
      <c r="I831" s="522">
        <f t="shared" si="233"/>
        <v>2990</v>
      </c>
      <c r="J831" s="522">
        <f t="shared" si="233"/>
        <v>0</v>
      </c>
      <c r="K831" s="522"/>
      <c r="L831" s="521"/>
      <c r="N831" s="521"/>
      <c r="O831" s="521"/>
    </row>
    <row r="832" spans="1:15" s="519" customFormat="1" x14ac:dyDescent="0.25">
      <c r="A832" s="451" t="s">
        <v>40</v>
      </c>
      <c r="B832" s="453">
        <v>10</v>
      </c>
      <c r="C832" s="454" t="s">
        <v>7</v>
      </c>
      <c r="D832" s="458" t="s">
        <v>675</v>
      </c>
      <c r="E832" s="460">
        <v>320</v>
      </c>
      <c r="F832" s="522">
        <f>'ведом. 2025-2027'!AD987</f>
        <v>0</v>
      </c>
      <c r="G832" s="522"/>
      <c r="H832" s="522">
        <f>'ведом. 2025-2027'!AE987</f>
        <v>2990</v>
      </c>
      <c r="I832" s="522">
        <v>2990</v>
      </c>
      <c r="J832" s="522">
        <f>'ведом. 2025-2027'!AF987</f>
        <v>0</v>
      </c>
      <c r="K832" s="522"/>
      <c r="L832" s="521"/>
      <c r="N832" s="521"/>
      <c r="O832" s="521"/>
    </row>
    <row r="833" spans="1:15" s="177" customFormat="1" x14ac:dyDescent="0.25">
      <c r="A833" s="422" t="s">
        <v>332</v>
      </c>
      <c r="B833" s="1">
        <v>10</v>
      </c>
      <c r="C833" s="1" t="s">
        <v>7</v>
      </c>
      <c r="D833" s="427" t="s">
        <v>137</v>
      </c>
      <c r="E833" s="428"/>
      <c r="F833" s="159">
        <f>F834</f>
        <v>331</v>
      </c>
      <c r="G833" s="159"/>
      <c r="H833" s="522">
        <f t="shared" ref="H833:J835" si="234">H834</f>
        <v>0</v>
      </c>
      <c r="I833" s="522"/>
      <c r="J833" s="522">
        <f t="shared" si="234"/>
        <v>0</v>
      </c>
      <c r="K833" s="522"/>
      <c r="L833" s="154"/>
      <c r="N833" s="154"/>
      <c r="O833" s="154"/>
    </row>
    <row r="834" spans="1:15" s="177" customFormat="1" x14ac:dyDescent="0.25">
      <c r="A834" s="426" t="s">
        <v>613</v>
      </c>
      <c r="B834" s="1">
        <v>10</v>
      </c>
      <c r="C834" s="1" t="s">
        <v>7</v>
      </c>
      <c r="D834" s="409" t="s">
        <v>612</v>
      </c>
      <c r="E834" s="428"/>
      <c r="F834" s="159">
        <f>F835</f>
        <v>331</v>
      </c>
      <c r="G834" s="159"/>
      <c r="H834" s="522">
        <f t="shared" si="234"/>
        <v>0</v>
      </c>
      <c r="I834" s="522"/>
      <c r="J834" s="522">
        <f t="shared" si="234"/>
        <v>0</v>
      </c>
      <c r="K834" s="522"/>
      <c r="L834" s="154"/>
      <c r="N834" s="154"/>
      <c r="O834" s="154"/>
    </row>
    <row r="835" spans="1:15" s="177" customFormat="1" x14ac:dyDescent="0.25">
      <c r="A835" s="422" t="s">
        <v>97</v>
      </c>
      <c r="B835" s="1">
        <v>10</v>
      </c>
      <c r="C835" s="1" t="s">
        <v>7</v>
      </c>
      <c r="D835" s="409" t="s">
        <v>612</v>
      </c>
      <c r="E835" s="4">
        <v>300</v>
      </c>
      <c r="F835" s="159">
        <f>F836</f>
        <v>331</v>
      </c>
      <c r="G835" s="159"/>
      <c r="H835" s="522">
        <f t="shared" si="234"/>
        <v>0</v>
      </c>
      <c r="I835" s="522"/>
      <c r="J835" s="522">
        <f t="shared" si="234"/>
        <v>0</v>
      </c>
      <c r="K835" s="522"/>
      <c r="L835" s="154"/>
      <c r="N835" s="154"/>
      <c r="O835" s="154"/>
    </row>
    <row r="836" spans="1:15" s="177" customFormat="1" x14ac:dyDescent="0.25">
      <c r="A836" s="375" t="s">
        <v>131</v>
      </c>
      <c r="B836" s="1">
        <v>10</v>
      </c>
      <c r="C836" s="1" t="s">
        <v>7</v>
      </c>
      <c r="D836" s="409" t="s">
        <v>612</v>
      </c>
      <c r="E836" s="4">
        <v>310</v>
      </c>
      <c r="F836" s="159">
        <f>'ведом. 2025-2027'!AD463</f>
        <v>331</v>
      </c>
      <c r="G836" s="306"/>
      <c r="H836" s="522">
        <f>'ведом. 2025-2027'!AE463</f>
        <v>0</v>
      </c>
      <c r="I836" s="522"/>
      <c r="J836" s="522">
        <f>'ведом. 2025-2027'!AF463</f>
        <v>0</v>
      </c>
      <c r="K836" s="522"/>
      <c r="L836" s="154"/>
      <c r="N836" s="154"/>
      <c r="O836" s="154"/>
    </row>
    <row r="837" spans="1:15" s="138" customFormat="1" x14ac:dyDescent="0.25">
      <c r="A837" s="375" t="s">
        <v>31</v>
      </c>
      <c r="B837" s="191">
        <v>10</v>
      </c>
      <c r="C837" s="4" t="s">
        <v>49</v>
      </c>
      <c r="D837" s="26"/>
      <c r="E837" s="326"/>
      <c r="F837" s="159">
        <f t="shared" ref="F837:K837" si="235">F838+F850</f>
        <v>45866.3</v>
      </c>
      <c r="G837" s="306">
        <f t="shared" si="235"/>
        <v>38275</v>
      </c>
      <c r="H837" s="522">
        <f t="shared" si="235"/>
        <v>44636.4</v>
      </c>
      <c r="I837" s="522">
        <f t="shared" si="235"/>
        <v>31332.2</v>
      </c>
      <c r="J837" s="522">
        <f t="shared" si="235"/>
        <v>45026.5</v>
      </c>
      <c r="K837" s="522">
        <f t="shared" si="235"/>
        <v>31601</v>
      </c>
      <c r="L837" s="154"/>
      <c r="N837" s="154"/>
      <c r="O837" s="154"/>
    </row>
    <row r="838" spans="1:15" s="138" customFormat="1" x14ac:dyDescent="0.25">
      <c r="A838" s="385" t="s">
        <v>262</v>
      </c>
      <c r="B838" s="191">
        <v>10</v>
      </c>
      <c r="C838" s="4" t="s">
        <v>49</v>
      </c>
      <c r="D838" s="26" t="s">
        <v>100</v>
      </c>
      <c r="E838" s="326"/>
      <c r="F838" s="159">
        <f t="shared" ref="F838:K838" si="236">F839</f>
        <v>14906</v>
      </c>
      <c r="G838" s="306">
        <f t="shared" si="236"/>
        <v>14906</v>
      </c>
      <c r="H838" s="522">
        <f t="shared" si="236"/>
        <v>14906</v>
      </c>
      <c r="I838" s="522">
        <f t="shared" si="236"/>
        <v>14906</v>
      </c>
      <c r="J838" s="522">
        <f t="shared" si="236"/>
        <v>14906</v>
      </c>
      <c r="K838" s="522">
        <f t="shared" si="236"/>
        <v>14906</v>
      </c>
      <c r="L838" s="154"/>
      <c r="N838" s="154"/>
      <c r="O838" s="154"/>
    </row>
    <row r="839" spans="1:15" s="138" customFormat="1" x14ac:dyDescent="0.25">
      <c r="A839" s="255" t="s">
        <v>446</v>
      </c>
      <c r="B839" s="191">
        <v>10</v>
      </c>
      <c r="C839" s="4" t="s">
        <v>49</v>
      </c>
      <c r="D839" s="26" t="s">
        <v>117</v>
      </c>
      <c r="E839" s="326"/>
      <c r="F839" s="159">
        <f t="shared" ref="F839:K840" si="237">F840</f>
        <v>14906</v>
      </c>
      <c r="G839" s="306">
        <f t="shared" si="237"/>
        <v>14906</v>
      </c>
      <c r="H839" s="522">
        <f t="shared" si="237"/>
        <v>14906</v>
      </c>
      <c r="I839" s="522">
        <f>I840</f>
        <v>14906</v>
      </c>
      <c r="J839" s="522">
        <f t="shared" si="237"/>
        <v>14906</v>
      </c>
      <c r="K839" s="522">
        <f t="shared" si="237"/>
        <v>14906</v>
      </c>
      <c r="L839" s="154"/>
      <c r="N839" s="154"/>
      <c r="O839" s="154"/>
    </row>
    <row r="840" spans="1:15" s="138" customFormat="1" ht="31.5" x14ac:dyDescent="0.25">
      <c r="A840" s="255" t="s">
        <v>266</v>
      </c>
      <c r="B840" s="191">
        <v>10</v>
      </c>
      <c r="C840" s="4" t="s">
        <v>49</v>
      </c>
      <c r="D840" s="156" t="s">
        <v>447</v>
      </c>
      <c r="E840" s="326"/>
      <c r="F840" s="159">
        <f t="shared" si="237"/>
        <v>14906</v>
      </c>
      <c r="G840" s="306">
        <f t="shared" si="237"/>
        <v>14906</v>
      </c>
      <c r="H840" s="522">
        <f t="shared" si="237"/>
        <v>14906</v>
      </c>
      <c r="I840" s="522">
        <f t="shared" si="237"/>
        <v>14906</v>
      </c>
      <c r="J840" s="522">
        <f t="shared" si="237"/>
        <v>14906</v>
      </c>
      <c r="K840" s="522">
        <f t="shared" si="237"/>
        <v>14906</v>
      </c>
      <c r="L840" s="154"/>
      <c r="N840" s="154"/>
      <c r="O840" s="154"/>
    </row>
    <row r="841" spans="1:15" s="138" customFormat="1" ht="47.25" x14ac:dyDescent="0.25">
      <c r="A841" s="256" t="s">
        <v>263</v>
      </c>
      <c r="B841" s="191">
        <v>10</v>
      </c>
      <c r="C841" s="4" t="s">
        <v>49</v>
      </c>
      <c r="D841" s="156" t="s">
        <v>467</v>
      </c>
      <c r="E841" s="326"/>
      <c r="F841" s="159">
        <f>F846+F844+F848+F842</f>
        <v>14906</v>
      </c>
      <c r="G841" s="522">
        <f t="shared" ref="G841:K841" si="238">G846+G844+G848+G842</f>
        <v>14906</v>
      </c>
      <c r="H841" s="522">
        <f t="shared" si="238"/>
        <v>14906</v>
      </c>
      <c r="I841" s="522">
        <f t="shared" si="238"/>
        <v>14906</v>
      </c>
      <c r="J841" s="522">
        <f t="shared" si="238"/>
        <v>14906</v>
      </c>
      <c r="K841" s="522">
        <f t="shared" si="238"/>
        <v>14906</v>
      </c>
      <c r="L841" s="154"/>
      <c r="N841" s="154"/>
      <c r="O841" s="154"/>
    </row>
    <row r="842" spans="1:15" s="519" customFormat="1" ht="47.25" x14ac:dyDescent="0.25">
      <c r="A842" s="451" t="s">
        <v>41</v>
      </c>
      <c r="B842" s="191">
        <v>10</v>
      </c>
      <c r="C842" s="516" t="s">
        <v>49</v>
      </c>
      <c r="D842" s="156" t="s">
        <v>467</v>
      </c>
      <c r="E842" s="326">
        <v>100</v>
      </c>
      <c r="F842" s="522">
        <f>F843</f>
        <v>536.1</v>
      </c>
      <c r="G842" s="522">
        <f t="shared" ref="G842:K842" si="239">G843</f>
        <v>536.1</v>
      </c>
      <c r="H842" s="522">
        <f t="shared" si="239"/>
        <v>826</v>
      </c>
      <c r="I842" s="522">
        <f t="shared" si="239"/>
        <v>826</v>
      </c>
      <c r="J842" s="522">
        <f t="shared" si="239"/>
        <v>826</v>
      </c>
      <c r="K842" s="522">
        <f t="shared" si="239"/>
        <v>826</v>
      </c>
      <c r="L842" s="521"/>
      <c r="N842" s="521"/>
      <c r="O842" s="521"/>
    </row>
    <row r="843" spans="1:15" s="519" customFormat="1" x14ac:dyDescent="0.25">
      <c r="A843" s="451" t="s">
        <v>68</v>
      </c>
      <c r="B843" s="191">
        <v>10</v>
      </c>
      <c r="C843" s="516" t="s">
        <v>49</v>
      </c>
      <c r="D843" s="156" t="s">
        <v>467</v>
      </c>
      <c r="E843" s="326">
        <v>110</v>
      </c>
      <c r="F843" s="522">
        <f>'ведом. 2025-2027'!AD458</f>
        <v>536.1</v>
      </c>
      <c r="G843" s="524">
        <f>F843</f>
        <v>536.1</v>
      </c>
      <c r="H843" s="522">
        <f>'ведом. 2025-2027'!AE458</f>
        <v>826</v>
      </c>
      <c r="I843" s="522">
        <f>H843</f>
        <v>826</v>
      </c>
      <c r="J843" s="522">
        <f>'ведом. 2025-2027'!AF458</f>
        <v>826</v>
      </c>
      <c r="K843" s="522">
        <f>J843</f>
        <v>826</v>
      </c>
      <c r="L843" s="521"/>
      <c r="N843" s="521"/>
      <c r="O843" s="521"/>
    </row>
    <row r="844" spans="1:15" s="138" customFormat="1" x14ac:dyDescent="0.25">
      <c r="A844" s="375" t="s">
        <v>120</v>
      </c>
      <c r="B844" s="191">
        <v>10</v>
      </c>
      <c r="C844" s="4" t="s">
        <v>49</v>
      </c>
      <c r="D844" s="156" t="s">
        <v>467</v>
      </c>
      <c r="E844" s="326">
        <v>200</v>
      </c>
      <c r="F844" s="159">
        <f t="shared" ref="F844:K844" si="240">F845</f>
        <v>139</v>
      </c>
      <c r="G844" s="306">
        <f t="shared" si="240"/>
        <v>139</v>
      </c>
      <c r="H844" s="522">
        <f t="shared" si="240"/>
        <v>139</v>
      </c>
      <c r="I844" s="522">
        <f t="shared" si="240"/>
        <v>139</v>
      </c>
      <c r="J844" s="522">
        <f t="shared" si="240"/>
        <v>139</v>
      </c>
      <c r="K844" s="522">
        <f t="shared" si="240"/>
        <v>139</v>
      </c>
      <c r="L844" s="154"/>
      <c r="N844" s="154"/>
      <c r="O844" s="154"/>
    </row>
    <row r="845" spans="1:15" s="138" customFormat="1" ht="31.5" x14ac:dyDescent="0.25">
      <c r="A845" s="375" t="s">
        <v>52</v>
      </c>
      <c r="B845" s="191">
        <v>10</v>
      </c>
      <c r="C845" s="4" t="s">
        <v>49</v>
      </c>
      <c r="D845" s="156" t="s">
        <v>467</v>
      </c>
      <c r="E845" s="326">
        <v>240</v>
      </c>
      <c r="F845" s="159">
        <f>'ведом. 2025-2027'!AD793</f>
        <v>139</v>
      </c>
      <c r="G845" s="306">
        <f>F845</f>
        <v>139</v>
      </c>
      <c r="H845" s="522">
        <f>'ведом. 2025-2027'!AE793</f>
        <v>139</v>
      </c>
      <c r="I845" s="522">
        <f>H845</f>
        <v>139</v>
      </c>
      <c r="J845" s="522">
        <f>'ведом. 2025-2027'!AF793</f>
        <v>139</v>
      </c>
      <c r="K845" s="522">
        <f>J845</f>
        <v>139</v>
      </c>
      <c r="L845" s="154"/>
      <c r="N845" s="154"/>
      <c r="O845" s="154"/>
    </row>
    <row r="846" spans="1:15" s="138" customFormat="1" x14ac:dyDescent="0.25">
      <c r="A846" s="375" t="s">
        <v>97</v>
      </c>
      <c r="B846" s="191">
        <v>10</v>
      </c>
      <c r="C846" s="4" t="s">
        <v>49</v>
      </c>
      <c r="D846" s="156" t="s">
        <v>467</v>
      </c>
      <c r="E846" s="326">
        <v>300</v>
      </c>
      <c r="F846" s="159">
        <f t="shared" ref="F846:K846" si="241">F847</f>
        <v>13941</v>
      </c>
      <c r="G846" s="306">
        <f t="shared" si="241"/>
        <v>13941</v>
      </c>
      <c r="H846" s="522">
        <f t="shared" si="241"/>
        <v>13941</v>
      </c>
      <c r="I846" s="522">
        <f t="shared" si="241"/>
        <v>13941</v>
      </c>
      <c r="J846" s="522">
        <f t="shared" si="241"/>
        <v>13941</v>
      </c>
      <c r="K846" s="522">
        <f t="shared" si="241"/>
        <v>13941</v>
      </c>
      <c r="L846" s="154"/>
      <c r="N846" s="154"/>
      <c r="O846" s="154"/>
    </row>
    <row r="847" spans="1:15" s="138" customFormat="1" x14ac:dyDescent="0.25">
      <c r="A847" s="375" t="s">
        <v>131</v>
      </c>
      <c r="B847" s="191">
        <v>10</v>
      </c>
      <c r="C847" s="4" t="s">
        <v>49</v>
      </c>
      <c r="D847" s="156" t="s">
        <v>467</v>
      </c>
      <c r="E847" s="326">
        <v>310</v>
      </c>
      <c r="F847" s="159">
        <f>'ведом. 2025-2027'!AD795</f>
        <v>13941</v>
      </c>
      <c r="G847" s="306">
        <f>F847</f>
        <v>13941</v>
      </c>
      <c r="H847" s="522">
        <f>'ведом. 2025-2027'!AE795</f>
        <v>13941</v>
      </c>
      <c r="I847" s="522">
        <f>H847</f>
        <v>13941</v>
      </c>
      <c r="J847" s="522">
        <f>'ведом. 2025-2027'!AF795</f>
        <v>13941</v>
      </c>
      <c r="K847" s="522">
        <f>J847</f>
        <v>13941</v>
      </c>
      <c r="L847" s="154"/>
      <c r="N847" s="154"/>
      <c r="O847" s="154"/>
    </row>
    <row r="848" spans="1:15" s="177" customFormat="1" ht="31.5" x14ac:dyDescent="0.25">
      <c r="A848" s="253" t="s">
        <v>60</v>
      </c>
      <c r="B848" s="191">
        <v>10</v>
      </c>
      <c r="C848" s="4" t="s">
        <v>49</v>
      </c>
      <c r="D848" s="156" t="s">
        <v>467</v>
      </c>
      <c r="E848" s="326">
        <v>600</v>
      </c>
      <c r="F848" s="159">
        <f t="shared" ref="F848:K848" si="242">F849</f>
        <v>289.89999999999998</v>
      </c>
      <c r="G848" s="306">
        <f t="shared" si="242"/>
        <v>289.89999999999998</v>
      </c>
      <c r="H848" s="522">
        <f t="shared" si="242"/>
        <v>0</v>
      </c>
      <c r="I848" s="522">
        <f t="shared" si="242"/>
        <v>0</v>
      </c>
      <c r="J848" s="522">
        <f t="shared" si="242"/>
        <v>0</v>
      </c>
      <c r="K848" s="522">
        <f t="shared" si="242"/>
        <v>0</v>
      </c>
      <c r="L848" s="154"/>
      <c r="N848" s="154"/>
      <c r="O848" s="154"/>
    </row>
    <row r="849" spans="1:15" s="177" customFormat="1" x14ac:dyDescent="0.25">
      <c r="A849" s="253" t="s">
        <v>61</v>
      </c>
      <c r="B849" s="191">
        <v>10</v>
      </c>
      <c r="C849" s="4" t="s">
        <v>49</v>
      </c>
      <c r="D849" s="156" t="s">
        <v>467</v>
      </c>
      <c r="E849" s="326">
        <v>610</v>
      </c>
      <c r="F849" s="159">
        <f>'ведом. 2025-2027'!AD797</f>
        <v>289.89999999999998</v>
      </c>
      <c r="G849" s="306">
        <f>F849</f>
        <v>289.89999999999998</v>
      </c>
      <c r="H849" s="522">
        <f>'ведом. 2025-2027'!AE797</f>
        <v>0</v>
      </c>
      <c r="I849" s="522">
        <f>H849</f>
        <v>0</v>
      </c>
      <c r="J849" s="522">
        <f>'ведом. 2025-2027'!AF797</f>
        <v>0</v>
      </c>
      <c r="K849" s="522">
        <f>J849</f>
        <v>0</v>
      </c>
      <c r="L849" s="154"/>
      <c r="N849" s="154"/>
      <c r="O849" s="154"/>
    </row>
    <row r="850" spans="1:15" s="138" customFormat="1" x14ac:dyDescent="0.25">
      <c r="A850" s="255" t="s">
        <v>181</v>
      </c>
      <c r="B850" s="191">
        <v>10</v>
      </c>
      <c r="C850" s="4" t="s">
        <v>49</v>
      </c>
      <c r="D850" s="156" t="s">
        <v>116</v>
      </c>
      <c r="E850" s="326"/>
      <c r="F850" s="159">
        <f t="shared" ref="F850:K850" si="243">F859+F851</f>
        <v>30960.3</v>
      </c>
      <c r="G850" s="306">
        <f t="shared" si="243"/>
        <v>23369</v>
      </c>
      <c r="H850" s="522">
        <f t="shared" si="243"/>
        <v>29730.400000000001</v>
      </c>
      <c r="I850" s="522">
        <f t="shared" si="243"/>
        <v>16426.2</v>
      </c>
      <c r="J850" s="522">
        <f t="shared" si="243"/>
        <v>30120.5</v>
      </c>
      <c r="K850" s="522">
        <f t="shared" si="243"/>
        <v>16695</v>
      </c>
      <c r="L850" s="154"/>
      <c r="N850" s="154"/>
      <c r="O850" s="154"/>
    </row>
    <row r="851" spans="1:15" s="138" customFormat="1" x14ac:dyDescent="0.25">
      <c r="A851" s="255" t="s">
        <v>180</v>
      </c>
      <c r="B851" s="191">
        <v>10</v>
      </c>
      <c r="C851" s="4" t="s">
        <v>49</v>
      </c>
      <c r="D851" s="156" t="s">
        <v>143</v>
      </c>
      <c r="E851" s="326"/>
      <c r="F851" s="159">
        <f t="shared" ref="F851:K851" si="244">F852</f>
        <v>16279.3</v>
      </c>
      <c r="G851" s="306">
        <f t="shared" si="244"/>
        <v>8688</v>
      </c>
      <c r="H851" s="522">
        <f t="shared" si="244"/>
        <v>29730.400000000001</v>
      </c>
      <c r="I851" s="522">
        <f t="shared" si="244"/>
        <v>16426.2</v>
      </c>
      <c r="J851" s="522">
        <f t="shared" si="244"/>
        <v>30120.5</v>
      </c>
      <c r="K851" s="522">
        <f t="shared" si="244"/>
        <v>16695</v>
      </c>
      <c r="L851" s="154"/>
      <c r="N851" s="154"/>
      <c r="O851" s="154"/>
    </row>
    <row r="852" spans="1:15" s="138" customFormat="1" ht="47.25" x14ac:dyDescent="0.25">
      <c r="A852" s="255" t="s">
        <v>425</v>
      </c>
      <c r="B852" s="191">
        <v>10</v>
      </c>
      <c r="C852" s="4" t="s">
        <v>49</v>
      </c>
      <c r="D852" s="156" t="s">
        <v>142</v>
      </c>
      <c r="E852" s="326"/>
      <c r="F852" s="159">
        <f>F856+F853</f>
        <v>16279.3</v>
      </c>
      <c r="G852" s="522">
        <f>G856</f>
        <v>8688</v>
      </c>
      <c r="H852" s="522">
        <f>H856</f>
        <v>29730.400000000001</v>
      </c>
      <c r="I852" s="522">
        <f>I856</f>
        <v>16426.2</v>
      </c>
      <c r="J852" s="522">
        <f>J856</f>
        <v>30120.5</v>
      </c>
      <c r="K852" s="522">
        <f>K856</f>
        <v>16695</v>
      </c>
      <c r="L852" s="154"/>
      <c r="N852" s="154"/>
      <c r="O852" s="154"/>
    </row>
    <row r="853" spans="1:15" s="519" customFormat="1" ht="31.5" x14ac:dyDescent="0.25">
      <c r="A853" s="457" t="s">
        <v>835</v>
      </c>
      <c r="B853" s="453">
        <v>10</v>
      </c>
      <c r="C853" s="453" t="s">
        <v>49</v>
      </c>
      <c r="D853" s="542" t="s">
        <v>836</v>
      </c>
      <c r="E853" s="454"/>
      <c r="F853" s="522">
        <f>F854</f>
        <v>561.29999999999995</v>
      </c>
      <c r="G853" s="522"/>
      <c r="H853" s="522">
        <f t="shared" ref="H853:J854" si="245">H854</f>
        <v>0</v>
      </c>
      <c r="I853" s="522"/>
      <c r="J853" s="522">
        <f t="shared" si="245"/>
        <v>0</v>
      </c>
      <c r="K853" s="522"/>
      <c r="L853" s="521"/>
      <c r="N853" s="521"/>
      <c r="O853" s="521"/>
    </row>
    <row r="854" spans="1:15" s="519" customFormat="1" x14ac:dyDescent="0.25">
      <c r="A854" s="451" t="s">
        <v>97</v>
      </c>
      <c r="B854" s="453">
        <v>10</v>
      </c>
      <c r="C854" s="453" t="s">
        <v>49</v>
      </c>
      <c r="D854" s="542" t="s">
        <v>836</v>
      </c>
      <c r="E854" s="454">
        <v>300</v>
      </c>
      <c r="F854" s="522">
        <f>F855</f>
        <v>561.29999999999995</v>
      </c>
      <c r="G854" s="522"/>
      <c r="H854" s="522">
        <f t="shared" si="245"/>
        <v>0</v>
      </c>
      <c r="I854" s="522"/>
      <c r="J854" s="522">
        <f t="shared" si="245"/>
        <v>0</v>
      </c>
      <c r="K854" s="522"/>
      <c r="L854" s="521"/>
      <c r="N854" s="521"/>
      <c r="O854" s="521"/>
    </row>
    <row r="855" spans="1:15" s="519" customFormat="1" x14ac:dyDescent="0.25">
      <c r="A855" s="451" t="s">
        <v>24</v>
      </c>
      <c r="B855" s="453">
        <v>10</v>
      </c>
      <c r="C855" s="453" t="s">
        <v>49</v>
      </c>
      <c r="D855" s="542" t="s">
        <v>836</v>
      </c>
      <c r="E855" s="454">
        <v>320</v>
      </c>
      <c r="F855" s="522">
        <f>'ведом. 2025-2027'!AD994</f>
        <v>561.29999999999995</v>
      </c>
      <c r="G855" s="524"/>
      <c r="H855" s="522">
        <f>'ведом. 2025-2027'!AE994</f>
        <v>0</v>
      </c>
      <c r="I855" s="522"/>
      <c r="J855" s="522">
        <f>'ведом. 2025-2027'!AF994</f>
        <v>0</v>
      </c>
      <c r="K855" s="522"/>
      <c r="L855" s="521"/>
      <c r="N855" s="521"/>
      <c r="O855" s="521"/>
    </row>
    <row r="856" spans="1:15" s="138" customFormat="1" x14ac:dyDescent="0.25">
      <c r="A856" s="255" t="s">
        <v>178</v>
      </c>
      <c r="B856" s="191">
        <v>10</v>
      </c>
      <c r="C856" s="4" t="s">
        <v>49</v>
      </c>
      <c r="D856" s="156" t="s">
        <v>179</v>
      </c>
      <c r="E856" s="326"/>
      <c r="F856" s="159">
        <f t="shared" ref="F856:K857" si="246">F857</f>
        <v>15718</v>
      </c>
      <c r="G856" s="306">
        <f t="shared" si="246"/>
        <v>8688</v>
      </c>
      <c r="H856" s="522">
        <f t="shared" si="246"/>
        <v>29730.400000000001</v>
      </c>
      <c r="I856" s="522">
        <f t="shared" si="246"/>
        <v>16426.2</v>
      </c>
      <c r="J856" s="522">
        <f t="shared" si="246"/>
        <v>30120.5</v>
      </c>
      <c r="K856" s="522">
        <f t="shared" si="246"/>
        <v>16695</v>
      </c>
      <c r="L856" s="154"/>
      <c r="N856" s="154"/>
      <c r="O856" s="154"/>
    </row>
    <row r="857" spans="1:15" s="138" customFormat="1" x14ac:dyDescent="0.25">
      <c r="A857" s="375" t="s">
        <v>97</v>
      </c>
      <c r="B857" s="191">
        <v>10</v>
      </c>
      <c r="C857" s="4" t="s">
        <v>49</v>
      </c>
      <c r="D857" s="156" t="s">
        <v>179</v>
      </c>
      <c r="E857" s="326">
        <v>300</v>
      </c>
      <c r="F857" s="159">
        <f t="shared" si="246"/>
        <v>15718</v>
      </c>
      <c r="G857" s="306">
        <f t="shared" si="246"/>
        <v>8688</v>
      </c>
      <c r="H857" s="522">
        <f t="shared" si="246"/>
        <v>29730.400000000001</v>
      </c>
      <c r="I857" s="522">
        <f t="shared" si="246"/>
        <v>16426.2</v>
      </c>
      <c r="J857" s="522">
        <f t="shared" si="246"/>
        <v>30120.5</v>
      </c>
      <c r="K857" s="522">
        <f t="shared" si="246"/>
        <v>16695</v>
      </c>
      <c r="L857" s="154"/>
      <c r="N857" s="154"/>
      <c r="O857" s="154"/>
    </row>
    <row r="858" spans="1:15" s="138" customFormat="1" x14ac:dyDescent="0.25">
      <c r="A858" s="375" t="s">
        <v>24</v>
      </c>
      <c r="B858" s="191">
        <v>10</v>
      </c>
      <c r="C858" s="4" t="s">
        <v>49</v>
      </c>
      <c r="D858" s="156" t="s">
        <v>179</v>
      </c>
      <c r="E858" s="326">
        <v>320</v>
      </c>
      <c r="F858" s="159">
        <f>'ведом. 2025-2027'!AD997</f>
        <v>15718</v>
      </c>
      <c r="G858" s="306">
        <v>8688</v>
      </c>
      <c r="H858" s="522">
        <f>'ведом. 2025-2027'!AE997</f>
        <v>29730.400000000001</v>
      </c>
      <c r="I858" s="522">
        <v>16426.2</v>
      </c>
      <c r="J858" s="522">
        <f>16695+13425.5</f>
        <v>30120.5</v>
      </c>
      <c r="K858" s="522">
        <v>16695</v>
      </c>
      <c r="L858" s="154"/>
      <c r="M858" s="521"/>
      <c r="N858" s="154"/>
      <c r="O858" s="154"/>
    </row>
    <row r="859" spans="1:15" s="138" customFormat="1" ht="31.5" x14ac:dyDescent="0.25">
      <c r="A859" s="376" t="s">
        <v>439</v>
      </c>
      <c r="B859" s="191">
        <v>10</v>
      </c>
      <c r="C859" s="4" t="s">
        <v>49</v>
      </c>
      <c r="D859" s="156" t="s">
        <v>146</v>
      </c>
      <c r="E859" s="326"/>
      <c r="F859" s="159">
        <f t="shared" ref="F859:J860" si="247">F860</f>
        <v>14681</v>
      </c>
      <c r="G859" s="159">
        <f t="shared" si="247"/>
        <v>14681</v>
      </c>
      <c r="H859" s="522">
        <f t="shared" si="247"/>
        <v>0</v>
      </c>
      <c r="I859" s="522"/>
      <c r="J859" s="522">
        <f t="shared" si="247"/>
        <v>0</v>
      </c>
      <c r="K859" s="522"/>
      <c r="L859" s="154"/>
      <c r="N859" s="154"/>
      <c r="O859" s="154"/>
    </row>
    <row r="860" spans="1:15" s="138" customFormat="1" ht="47.25" x14ac:dyDescent="0.25">
      <c r="A860" s="376" t="s">
        <v>440</v>
      </c>
      <c r="B860" s="191">
        <v>10</v>
      </c>
      <c r="C860" s="4" t="s">
        <v>49</v>
      </c>
      <c r="D860" s="156" t="s">
        <v>145</v>
      </c>
      <c r="E860" s="326"/>
      <c r="F860" s="159">
        <f>F861</f>
        <v>14681</v>
      </c>
      <c r="G860" s="522">
        <f t="shared" si="247"/>
        <v>14681</v>
      </c>
      <c r="H860" s="522">
        <f t="shared" si="247"/>
        <v>0</v>
      </c>
      <c r="I860" s="522"/>
      <c r="J860" s="522">
        <f t="shared" si="247"/>
        <v>0</v>
      </c>
      <c r="K860" s="522"/>
      <c r="L860" s="154"/>
      <c r="N860" s="154"/>
      <c r="O860" s="154"/>
    </row>
    <row r="861" spans="1:15" s="138" customFormat="1" ht="31.5" x14ac:dyDescent="0.25">
      <c r="A861" s="275" t="s">
        <v>617</v>
      </c>
      <c r="B861" s="191">
        <v>10</v>
      </c>
      <c r="C861" s="4" t="s">
        <v>49</v>
      </c>
      <c r="D861" s="156" t="s">
        <v>144</v>
      </c>
      <c r="E861" s="326"/>
      <c r="F861" s="159">
        <f t="shared" ref="F861:J861" si="248">F862</f>
        <v>14681</v>
      </c>
      <c r="G861" s="159">
        <f t="shared" si="248"/>
        <v>14681</v>
      </c>
      <c r="H861" s="522">
        <f t="shared" si="248"/>
        <v>0</v>
      </c>
      <c r="I861" s="522"/>
      <c r="J861" s="522">
        <f t="shared" si="248"/>
        <v>0</v>
      </c>
      <c r="K861" s="522"/>
      <c r="L861" s="180"/>
      <c r="N861" s="154"/>
      <c r="O861" s="154"/>
    </row>
    <row r="862" spans="1:15" s="138" customFormat="1" x14ac:dyDescent="0.25">
      <c r="A862" s="388" t="s">
        <v>23</v>
      </c>
      <c r="B862" s="191">
        <v>10</v>
      </c>
      <c r="C862" s="4" t="s">
        <v>49</v>
      </c>
      <c r="D862" s="279" t="s">
        <v>144</v>
      </c>
      <c r="E862" s="326">
        <v>400</v>
      </c>
      <c r="F862" s="159">
        <f t="shared" ref="F862:J862" si="249">F863</f>
        <v>14681</v>
      </c>
      <c r="G862" s="306">
        <f t="shared" si="249"/>
        <v>14681</v>
      </c>
      <c r="H862" s="522">
        <f t="shared" si="249"/>
        <v>0</v>
      </c>
      <c r="I862" s="522"/>
      <c r="J862" s="522">
        <f t="shared" si="249"/>
        <v>0</v>
      </c>
      <c r="K862" s="522"/>
      <c r="L862" s="154"/>
      <c r="N862" s="154"/>
      <c r="O862" s="154"/>
    </row>
    <row r="863" spans="1:15" s="138" customFormat="1" x14ac:dyDescent="0.25">
      <c r="A863" s="375" t="s">
        <v>9</v>
      </c>
      <c r="B863" s="191">
        <v>10</v>
      </c>
      <c r="C863" s="4" t="s">
        <v>49</v>
      </c>
      <c r="D863" s="279" t="s">
        <v>144</v>
      </c>
      <c r="E863" s="326">
        <v>410</v>
      </c>
      <c r="F863" s="159">
        <f>'ведом. 2025-2027'!AD622</f>
        <v>14681</v>
      </c>
      <c r="G863" s="306">
        <f>F863</f>
        <v>14681</v>
      </c>
      <c r="H863" s="522">
        <f>'ведом. 2025-2027'!AE622</f>
        <v>0</v>
      </c>
      <c r="I863" s="522"/>
      <c r="J863" s="522">
        <f>'ведом. 2025-2027'!AF622</f>
        <v>0</v>
      </c>
      <c r="K863" s="522"/>
      <c r="L863" s="154"/>
      <c r="N863" s="154"/>
      <c r="O863" s="154"/>
    </row>
    <row r="864" spans="1:15" s="138" customFormat="1" x14ac:dyDescent="0.25">
      <c r="A864" s="375" t="s">
        <v>33</v>
      </c>
      <c r="B864" s="191">
        <v>10</v>
      </c>
      <c r="C864" s="4" t="s">
        <v>95</v>
      </c>
      <c r="D864" s="26"/>
      <c r="E864" s="325"/>
      <c r="F864" s="159">
        <f t="shared" ref="F864:F872" si="250">F865</f>
        <v>140</v>
      </c>
      <c r="G864" s="306"/>
      <c r="H864" s="522">
        <f>H865</f>
        <v>140</v>
      </c>
      <c r="I864" s="522"/>
      <c r="J864" s="522">
        <f>J865</f>
        <v>140</v>
      </c>
      <c r="K864" s="522"/>
      <c r="L864" s="154"/>
      <c r="N864" s="154"/>
      <c r="O864" s="154"/>
    </row>
    <row r="865" spans="1:15" s="138" customFormat="1" x14ac:dyDescent="0.25">
      <c r="A865" s="255" t="s">
        <v>292</v>
      </c>
      <c r="B865" s="191">
        <v>10</v>
      </c>
      <c r="C865" s="4" t="s">
        <v>95</v>
      </c>
      <c r="D865" s="156" t="s">
        <v>109</v>
      </c>
      <c r="E865" s="325"/>
      <c r="F865" s="159">
        <f t="shared" si="250"/>
        <v>140</v>
      </c>
      <c r="G865" s="306"/>
      <c r="H865" s="522">
        <f>H866</f>
        <v>140</v>
      </c>
      <c r="I865" s="522"/>
      <c r="J865" s="522">
        <f>J866</f>
        <v>140</v>
      </c>
      <c r="K865" s="522"/>
      <c r="L865" s="154"/>
      <c r="N865" s="154"/>
      <c r="O865" s="154"/>
    </row>
    <row r="866" spans="1:15" s="138" customFormat="1" ht="31.5" x14ac:dyDescent="0.25">
      <c r="A866" s="259" t="s">
        <v>343</v>
      </c>
      <c r="B866" s="191">
        <v>10</v>
      </c>
      <c r="C866" s="4" t="s">
        <v>95</v>
      </c>
      <c r="D866" s="156" t="s">
        <v>521</v>
      </c>
      <c r="E866" s="325"/>
      <c r="F866" s="159">
        <f t="shared" si="250"/>
        <v>140</v>
      </c>
      <c r="G866" s="306"/>
      <c r="H866" s="522">
        <f>H867</f>
        <v>140</v>
      </c>
      <c r="I866" s="522"/>
      <c r="J866" s="522">
        <f>J867</f>
        <v>140</v>
      </c>
      <c r="K866" s="522"/>
      <c r="L866" s="154"/>
      <c r="N866" s="154"/>
      <c r="O866" s="154"/>
    </row>
    <row r="867" spans="1:15" s="138" customFormat="1" x14ac:dyDescent="0.25">
      <c r="A867" s="276" t="s">
        <v>523</v>
      </c>
      <c r="B867" s="191">
        <v>10</v>
      </c>
      <c r="C867" s="4" t="s">
        <v>95</v>
      </c>
      <c r="D867" s="156" t="s">
        <v>522</v>
      </c>
      <c r="E867" s="325"/>
      <c r="F867" s="159">
        <f>F871+F868</f>
        <v>140</v>
      </c>
      <c r="G867" s="159"/>
      <c r="H867" s="522">
        <f>H871+H868</f>
        <v>140</v>
      </c>
      <c r="I867" s="522"/>
      <c r="J867" s="522">
        <f>J871+J868</f>
        <v>140</v>
      </c>
      <c r="K867" s="522"/>
      <c r="L867" s="154"/>
      <c r="N867" s="154"/>
      <c r="O867" s="154"/>
    </row>
    <row r="868" spans="1:15" s="177" customFormat="1" x14ac:dyDescent="0.25">
      <c r="A868" s="416" t="s">
        <v>594</v>
      </c>
      <c r="B868" s="1">
        <v>10</v>
      </c>
      <c r="C868" s="1" t="s">
        <v>95</v>
      </c>
      <c r="D868" s="409" t="s">
        <v>595</v>
      </c>
      <c r="E868" s="417"/>
      <c r="F868" s="159">
        <f>F869</f>
        <v>70</v>
      </c>
      <c r="G868" s="306"/>
      <c r="H868" s="522">
        <f>H869</f>
        <v>70</v>
      </c>
      <c r="I868" s="522"/>
      <c r="J868" s="522">
        <f>J869</f>
        <v>70</v>
      </c>
      <c r="K868" s="522"/>
      <c r="L868" s="154"/>
      <c r="N868" s="154"/>
      <c r="O868" s="154"/>
    </row>
    <row r="869" spans="1:15" s="177" customFormat="1" ht="31.5" x14ac:dyDescent="0.25">
      <c r="A869" s="418" t="s">
        <v>60</v>
      </c>
      <c r="B869" s="1">
        <v>10</v>
      </c>
      <c r="C869" s="1" t="s">
        <v>95</v>
      </c>
      <c r="D869" s="409" t="s">
        <v>595</v>
      </c>
      <c r="E869" s="417">
        <v>600</v>
      </c>
      <c r="F869" s="159">
        <f>F870</f>
        <v>70</v>
      </c>
      <c r="G869" s="306"/>
      <c r="H869" s="522">
        <f>H870</f>
        <v>70</v>
      </c>
      <c r="I869" s="522"/>
      <c r="J869" s="522">
        <f>J870</f>
        <v>70</v>
      </c>
      <c r="K869" s="522"/>
      <c r="L869" s="154"/>
      <c r="N869" s="154"/>
      <c r="O869" s="154"/>
    </row>
    <row r="870" spans="1:15" s="177" customFormat="1" ht="39" customHeight="1" x14ac:dyDescent="0.25">
      <c r="A870" s="419" t="s">
        <v>408</v>
      </c>
      <c r="B870" s="1">
        <v>10</v>
      </c>
      <c r="C870" s="1" t="s">
        <v>95</v>
      </c>
      <c r="D870" s="409" t="s">
        <v>595</v>
      </c>
      <c r="E870" s="417">
        <v>630</v>
      </c>
      <c r="F870" s="159">
        <f>'ведом. 2025-2027'!AD470</f>
        <v>70</v>
      </c>
      <c r="G870" s="306"/>
      <c r="H870" s="522">
        <f>'ведом. 2025-2027'!AE470</f>
        <v>70</v>
      </c>
      <c r="I870" s="522"/>
      <c r="J870" s="522">
        <f>'ведом. 2025-2027'!AF470</f>
        <v>70</v>
      </c>
      <c r="K870" s="522"/>
      <c r="L870" s="154"/>
      <c r="N870" s="154"/>
      <c r="O870" s="154"/>
    </row>
    <row r="871" spans="1:15" s="138" customFormat="1" ht="31.5" x14ac:dyDescent="0.25">
      <c r="A871" s="256" t="s">
        <v>575</v>
      </c>
      <c r="B871" s="191">
        <v>10</v>
      </c>
      <c r="C871" s="4" t="s">
        <v>95</v>
      </c>
      <c r="D871" s="156" t="s">
        <v>576</v>
      </c>
      <c r="E871" s="341"/>
      <c r="F871" s="159">
        <f t="shared" si="250"/>
        <v>70</v>
      </c>
      <c r="G871" s="306"/>
      <c r="H871" s="522">
        <f>H872</f>
        <v>70</v>
      </c>
      <c r="I871" s="522"/>
      <c r="J871" s="522">
        <f>J872</f>
        <v>70</v>
      </c>
      <c r="K871" s="522"/>
      <c r="L871" s="154"/>
      <c r="N871" s="154"/>
      <c r="O871" s="154"/>
    </row>
    <row r="872" spans="1:15" s="138" customFormat="1" ht="31.5" x14ac:dyDescent="0.25">
      <c r="A872" s="375" t="s">
        <v>60</v>
      </c>
      <c r="B872" s="191">
        <v>10</v>
      </c>
      <c r="C872" s="4" t="s">
        <v>95</v>
      </c>
      <c r="D872" s="156" t="s">
        <v>576</v>
      </c>
      <c r="E872" s="341">
        <v>600</v>
      </c>
      <c r="F872" s="159">
        <f t="shared" si="250"/>
        <v>70</v>
      </c>
      <c r="G872" s="306"/>
      <c r="H872" s="522">
        <f>H873</f>
        <v>70</v>
      </c>
      <c r="I872" s="522"/>
      <c r="J872" s="522">
        <f>J873</f>
        <v>70</v>
      </c>
      <c r="K872" s="522"/>
      <c r="L872" s="154"/>
      <c r="N872" s="154"/>
      <c r="O872" s="154"/>
    </row>
    <row r="873" spans="1:15" s="138" customFormat="1" ht="36" customHeight="1" x14ac:dyDescent="0.25">
      <c r="A873" s="389" t="s">
        <v>408</v>
      </c>
      <c r="B873" s="191">
        <v>10</v>
      </c>
      <c r="C873" s="4" t="s">
        <v>95</v>
      </c>
      <c r="D873" s="156" t="s">
        <v>576</v>
      </c>
      <c r="E873" s="341">
        <v>630</v>
      </c>
      <c r="F873" s="159">
        <f>'ведом. 2025-2027'!AD473</f>
        <v>70</v>
      </c>
      <c r="G873" s="306"/>
      <c r="H873" s="522">
        <f>'ведом. 2025-2027'!AE473</f>
        <v>70</v>
      </c>
      <c r="I873" s="522"/>
      <c r="J873" s="522">
        <f>'ведом. 2025-2027'!AF473</f>
        <v>70</v>
      </c>
      <c r="K873" s="522"/>
      <c r="L873" s="154"/>
      <c r="N873" s="154"/>
      <c r="O873" s="154"/>
    </row>
    <row r="874" spans="1:15" s="138" customFormat="1" x14ac:dyDescent="0.25">
      <c r="A874" s="384" t="s">
        <v>13</v>
      </c>
      <c r="B874" s="182">
        <v>11</v>
      </c>
      <c r="C874" s="188"/>
      <c r="D874" s="280"/>
      <c r="E874" s="330"/>
      <c r="F874" s="161">
        <f>F875+F889</f>
        <v>136390.6</v>
      </c>
      <c r="G874" s="161"/>
      <c r="H874" s="161">
        <f>H875+H889</f>
        <v>124375.9</v>
      </c>
      <c r="I874" s="161"/>
      <c r="J874" s="161">
        <f>J875+J889</f>
        <v>127463.3</v>
      </c>
      <c r="K874" s="161"/>
      <c r="L874" s="154"/>
      <c r="N874" s="154"/>
      <c r="O874" s="154"/>
    </row>
    <row r="875" spans="1:15" s="138" customFormat="1" x14ac:dyDescent="0.25">
      <c r="A875" s="375" t="s">
        <v>35</v>
      </c>
      <c r="B875" s="191">
        <v>11</v>
      </c>
      <c r="C875" s="4" t="s">
        <v>30</v>
      </c>
      <c r="D875" s="156"/>
      <c r="E875" s="332"/>
      <c r="F875" s="159">
        <f>F876</f>
        <v>10724.5</v>
      </c>
      <c r="G875" s="159"/>
      <c r="H875" s="522">
        <f t="shared" ref="H875:J875" si="251">H876</f>
        <v>3632.9</v>
      </c>
      <c r="I875" s="522"/>
      <c r="J875" s="522">
        <f t="shared" si="251"/>
        <v>5239.3</v>
      </c>
      <c r="K875" s="522"/>
      <c r="L875" s="154"/>
      <c r="N875" s="154"/>
      <c r="O875" s="154"/>
    </row>
    <row r="876" spans="1:15" s="177" customFormat="1" x14ac:dyDescent="0.25">
      <c r="A876" s="255" t="s">
        <v>157</v>
      </c>
      <c r="B876" s="191">
        <v>11</v>
      </c>
      <c r="C876" s="4" t="s">
        <v>30</v>
      </c>
      <c r="D876" s="156" t="s">
        <v>115</v>
      </c>
      <c r="E876" s="332"/>
      <c r="F876" s="159">
        <f>F877+F885</f>
        <v>10724.5</v>
      </c>
      <c r="G876" s="522"/>
      <c r="H876" s="522">
        <f>H877+H885</f>
        <v>3632.9</v>
      </c>
      <c r="I876" s="522"/>
      <c r="J876" s="522">
        <f>J877+J885</f>
        <v>5239.3</v>
      </c>
      <c r="K876" s="522"/>
      <c r="L876" s="154"/>
      <c r="N876" s="154"/>
      <c r="O876" s="154"/>
    </row>
    <row r="877" spans="1:15" s="138" customFormat="1" x14ac:dyDescent="0.25">
      <c r="A877" s="255" t="s">
        <v>158</v>
      </c>
      <c r="B877" s="191">
        <v>11</v>
      </c>
      <c r="C877" s="4" t="s">
        <v>30</v>
      </c>
      <c r="D877" s="156" t="s">
        <v>119</v>
      </c>
      <c r="E877" s="332"/>
      <c r="F877" s="159">
        <f>F878</f>
        <v>5319.5</v>
      </c>
      <c r="G877" s="306"/>
      <c r="H877" s="522">
        <f>H878</f>
        <v>3632.9</v>
      </c>
      <c r="I877" s="522"/>
      <c r="J877" s="522">
        <f>J878</f>
        <v>5239.3</v>
      </c>
      <c r="K877" s="522"/>
      <c r="L877" s="154"/>
      <c r="N877" s="154"/>
      <c r="O877" s="154"/>
    </row>
    <row r="878" spans="1:15" s="177" customFormat="1" ht="46.5" customHeight="1" x14ac:dyDescent="0.25">
      <c r="A878" s="558" t="s">
        <v>752</v>
      </c>
      <c r="B878" s="191">
        <v>11</v>
      </c>
      <c r="C878" s="4" t="s">
        <v>30</v>
      </c>
      <c r="D878" s="156" t="s">
        <v>129</v>
      </c>
      <c r="E878" s="332"/>
      <c r="F878" s="159">
        <f>F879</f>
        <v>5319.5</v>
      </c>
      <c r="G878" s="306"/>
      <c r="H878" s="522">
        <f>H879</f>
        <v>3632.9</v>
      </c>
      <c r="I878" s="522"/>
      <c r="J878" s="522">
        <f>J879</f>
        <v>5239.3</v>
      </c>
      <c r="K878" s="522"/>
      <c r="L878" s="154"/>
      <c r="N878" s="154"/>
      <c r="O878" s="154"/>
    </row>
    <row r="879" spans="1:15" s="138" customFormat="1" ht="31.5" x14ac:dyDescent="0.25">
      <c r="A879" s="278" t="s">
        <v>159</v>
      </c>
      <c r="B879" s="191">
        <v>11</v>
      </c>
      <c r="C879" s="4" t="s">
        <v>30</v>
      </c>
      <c r="D879" s="156" t="s">
        <v>160</v>
      </c>
      <c r="E879" s="330"/>
      <c r="F879" s="159">
        <f>F880+F882</f>
        <v>5319.5</v>
      </c>
      <c r="G879" s="522"/>
      <c r="H879" s="522">
        <f t="shared" ref="H879:J879" si="252">H880+H882</f>
        <v>3632.9</v>
      </c>
      <c r="I879" s="522"/>
      <c r="J879" s="522">
        <f t="shared" si="252"/>
        <v>5239.3</v>
      </c>
      <c r="K879" s="522"/>
      <c r="L879" s="154"/>
      <c r="N879" s="154"/>
      <c r="O879" s="154"/>
    </row>
    <row r="880" spans="1:15" s="138" customFormat="1" x14ac:dyDescent="0.25">
      <c r="A880" s="375" t="s">
        <v>120</v>
      </c>
      <c r="B880" s="191">
        <v>11</v>
      </c>
      <c r="C880" s="4" t="s">
        <v>30</v>
      </c>
      <c r="D880" s="156" t="s">
        <v>160</v>
      </c>
      <c r="E880" s="332">
        <v>200</v>
      </c>
      <c r="F880" s="159">
        <f>F881</f>
        <v>4544.5</v>
      </c>
      <c r="G880" s="306"/>
      <c r="H880" s="522">
        <f>H881</f>
        <v>2857.9</v>
      </c>
      <c r="I880" s="522"/>
      <c r="J880" s="522">
        <f>J881</f>
        <v>3239.3</v>
      </c>
      <c r="K880" s="522"/>
      <c r="L880" s="154"/>
      <c r="N880" s="154"/>
      <c r="O880" s="154"/>
    </row>
    <row r="881" spans="1:15" s="138" customFormat="1" ht="31.5" x14ac:dyDescent="0.25">
      <c r="A881" s="375" t="s">
        <v>52</v>
      </c>
      <c r="B881" s="191">
        <v>11</v>
      </c>
      <c r="C881" s="4" t="s">
        <v>30</v>
      </c>
      <c r="D881" s="156" t="s">
        <v>160</v>
      </c>
      <c r="E881" s="332">
        <v>240</v>
      </c>
      <c r="F881" s="159">
        <f>'ведом. 2025-2027'!AD481</f>
        <v>4544.5</v>
      </c>
      <c r="G881" s="306"/>
      <c r="H881" s="522">
        <f>'ведом. 2025-2027'!AE481</f>
        <v>2857.9</v>
      </c>
      <c r="I881" s="522"/>
      <c r="J881" s="522">
        <f>'ведом. 2025-2027'!AF481</f>
        <v>3239.3</v>
      </c>
      <c r="K881" s="522"/>
      <c r="L881" s="154"/>
      <c r="N881" s="154"/>
      <c r="O881" s="154"/>
    </row>
    <row r="882" spans="1:15" s="519" customFormat="1" ht="31.5" x14ac:dyDescent="0.25">
      <c r="A882" s="559" t="s">
        <v>60</v>
      </c>
      <c r="B882" s="453">
        <v>11</v>
      </c>
      <c r="C882" s="453" t="s">
        <v>30</v>
      </c>
      <c r="D882" s="542" t="s">
        <v>160</v>
      </c>
      <c r="E882" s="454">
        <v>600</v>
      </c>
      <c r="F882" s="522">
        <f>F883+F884</f>
        <v>775</v>
      </c>
      <c r="G882" s="522"/>
      <c r="H882" s="522">
        <f t="shared" ref="H882:J882" si="253">H883+H884</f>
        <v>775</v>
      </c>
      <c r="I882" s="522"/>
      <c r="J882" s="522">
        <f t="shared" si="253"/>
        <v>2000</v>
      </c>
      <c r="K882" s="522"/>
      <c r="L882" s="521"/>
      <c r="N882" s="521"/>
      <c r="O882" s="521"/>
    </row>
    <row r="883" spans="1:15" s="519" customFormat="1" x14ac:dyDescent="0.25">
      <c r="A883" s="479" t="s">
        <v>61</v>
      </c>
      <c r="B883" s="453">
        <v>11</v>
      </c>
      <c r="C883" s="453" t="s">
        <v>30</v>
      </c>
      <c r="D883" s="542" t="s">
        <v>160</v>
      </c>
      <c r="E883" s="454">
        <v>610</v>
      </c>
      <c r="F883" s="522">
        <f>'ведом. 2025-2027'!AD483</f>
        <v>450</v>
      </c>
      <c r="G883" s="524"/>
      <c r="H883" s="522">
        <f>'ведом. 2025-2027'!AE483</f>
        <v>450</v>
      </c>
      <c r="I883" s="522"/>
      <c r="J883" s="522">
        <f>'ведом. 2025-2027'!AF483</f>
        <v>1162</v>
      </c>
      <c r="K883" s="522"/>
      <c r="L883" s="521"/>
      <c r="N883" s="521"/>
      <c r="O883" s="521"/>
    </row>
    <row r="884" spans="1:15" s="519" customFormat="1" x14ac:dyDescent="0.25">
      <c r="A884" s="560" t="s">
        <v>130</v>
      </c>
      <c r="B884" s="453">
        <v>11</v>
      </c>
      <c r="C884" s="453" t="s">
        <v>30</v>
      </c>
      <c r="D884" s="542" t="s">
        <v>160</v>
      </c>
      <c r="E884" s="454">
        <v>620</v>
      </c>
      <c r="F884" s="522">
        <f>'ведом. 2025-2027'!AD484</f>
        <v>325</v>
      </c>
      <c r="G884" s="524"/>
      <c r="H884" s="522">
        <f>'ведом. 2025-2027'!AE484</f>
        <v>325</v>
      </c>
      <c r="I884" s="522"/>
      <c r="J884" s="522">
        <f>'ведом. 2025-2027'!AF484</f>
        <v>838</v>
      </c>
      <c r="K884" s="522"/>
      <c r="L884" s="521"/>
      <c r="N884" s="521"/>
      <c r="O884" s="521"/>
    </row>
    <row r="885" spans="1:15" s="519" customFormat="1" x14ac:dyDescent="0.25">
      <c r="A885" s="451" t="s">
        <v>686</v>
      </c>
      <c r="B885" s="453">
        <v>11</v>
      </c>
      <c r="C885" s="454" t="s">
        <v>30</v>
      </c>
      <c r="D885" s="458" t="s">
        <v>687</v>
      </c>
      <c r="E885" s="460"/>
      <c r="F885" s="522">
        <f>F886</f>
        <v>5405</v>
      </c>
      <c r="G885" s="522"/>
      <c r="H885" s="522">
        <f t="shared" ref="H885:J887" si="254">H886</f>
        <v>0</v>
      </c>
      <c r="I885" s="522"/>
      <c r="J885" s="522">
        <f t="shared" si="254"/>
        <v>0</v>
      </c>
      <c r="K885" s="522"/>
      <c r="L885" s="521"/>
      <c r="N885" s="521"/>
      <c r="O885" s="521"/>
    </row>
    <row r="886" spans="1:15" s="519" customFormat="1" x14ac:dyDescent="0.25">
      <c r="A886" s="451" t="s">
        <v>688</v>
      </c>
      <c r="B886" s="453">
        <v>11</v>
      </c>
      <c r="C886" s="454" t="s">
        <v>30</v>
      </c>
      <c r="D886" s="458" t="s">
        <v>689</v>
      </c>
      <c r="E886" s="460"/>
      <c r="F886" s="522">
        <f>F887</f>
        <v>5405</v>
      </c>
      <c r="G886" s="522"/>
      <c r="H886" s="522">
        <f t="shared" si="254"/>
        <v>0</v>
      </c>
      <c r="I886" s="522"/>
      <c r="J886" s="522">
        <f t="shared" si="254"/>
        <v>0</v>
      </c>
      <c r="K886" s="522"/>
      <c r="L886" s="521"/>
      <c r="N886" s="521"/>
      <c r="O886" s="521"/>
    </row>
    <row r="887" spans="1:15" s="519" customFormat="1" x14ac:dyDescent="0.25">
      <c r="A887" s="451" t="s">
        <v>120</v>
      </c>
      <c r="B887" s="453">
        <v>11</v>
      </c>
      <c r="C887" s="454" t="s">
        <v>30</v>
      </c>
      <c r="D887" s="458" t="s">
        <v>689</v>
      </c>
      <c r="E887" s="460">
        <v>200</v>
      </c>
      <c r="F887" s="522">
        <f>F888</f>
        <v>5405</v>
      </c>
      <c r="G887" s="522"/>
      <c r="H887" s="522">
        <f t="shared" si="254"/>
        <v>0</v>
      </c>
      <c r="I887" s="522"/>
      <c r="J887" s="522">
        <f t="shared" si="254"/>
        <v>0</v>
      </c>
      <c r="K887" s="522"/>
      <c r="L887" s="521"/>
      <c r="N887" s="521"/>
      <c r="O887" s="521"/>
    </row>
    <row r="888" spans="1:15" s="519" customFormat="1" ht="31.5" x14ac:dyDescent="0.25">
      <c r="A888" s="451" t="s">
        <v>52</v>
      </c>
      <c r="B888" s="453">
        <v>11</v>
      </c>
      <c r="C888" s="454" t="s">
        <v>30</v>
      </c>
      <c r="D888" s="458" t="s">
        <v>689</v>
      </c>
      <c r="E888" s="460">
        <v>240</v>
      </c>
      <c r="F888" s="522">
        <f>'ведом. 2025-2027'!AD1005</f>
        <v>5405</v>
      </c>
      <c r="G888" s="524"/>
      <c r="H888" s="522">
        <f>'ведом. 2025-2027'!AE1005</f>
        <v>0</v>
      </c>
      <c r="I888" s="522"/>
      <c r="J888" s="522">
        <f>'ведом. 2025-2027'!AF1005</f>
        <v>0</v>
      </c>
      <c r="K888" s="522"/>
      <c r="L888" s="521"/>
      <c r="N888" s="521"/>
      <c r="O888" s="521"/>
    </row>
    <row r="889" spans="1:15" s="177" customFormat="1" ht="17.25" customHeight="1" x14ac:dyDescent="0.25">
      <c r="A889" s="273" t="s">
        <v>600</v>
      </c>
      <c r="B889" s="1">
        <v>11</v>
      </c>
      <c r="C889" s="4" t="s">
        <v>7</v>
      </c>
      <c r="D889" s="291"/>
      <c r="E889" s="285"/>
      <c r="F889" s="159">
        <f t="shared" ref="F889:F894" si="255">F890</f>
        <v>125666.1</v>
      </c>
      <c r="G889" s="159"/>
      <c r="H889" s="522">
        <f t="shared" ref="H889:H894" si="256">H890</f>
        <v>120743</v>
      </c>
      <c r="I889" s="522"/>
      <c r="J889" s="522">
        <f t="shared" ref="J889:J894" si="257">J890</f>
        <v>122224</v>
      </c>
      <c r="K889" s="522"/>
      <c r="L889" s="154"/>
      <c r="N889" s="154"/>
      <c r="O889" s="154"/>
    </row>
    <row r="890" spans="1:15" s="177" customFormat="1" x14ac:dyDescent="0.25">
      <c r="A890" s="255" t="s">
        <v>157</v>
      </c>
      <c r="B890" s="1">
        <v>11</v>
      </c>
      <c r="C890" s="4" t="s">
        <v>7</v>
      </c>
      <c r="D890" s="291" t="s">
        <v>115</v>
      </c>
      <c r="E890" s="285"/>
      <c r="F890" s="159">
        <f t="shared" si="255"/>
        <v>125666.1</v>
      </c>
      <c r="G890" s="159"/>
      <c r="H890" s="522">
        <f t="shared" si="256"/>
        <v>120743</v>
      </c>
      <c r="I890" s="522"/>
      <c r="J890" s="522">
        <f t="shared" si="257"/>
        <v>122224</v>
      </c>
      <c r="K890" s="522"/>
      <c r="L890" s="154"/>
      <c r="N890" s="154"/>
      <c r="O890" s="154"/>
    </row>
    <row r="891" spans="1:15" s="177" customFormat="1" x14ac:dyDescent="0.25">
      <c r="A891" s="273" t="s">
        <v>601</v>
      </c>
      <c r="B891" s="1">
        <v>11</v>
      </c>
      <c r="C891" s="4" t="s">
        <v>7</v>
      </c>
      <c r="D891" s="291" t="s">
        <v>602</v>
      </c>
      <c r="E891" s="285"/>
      <c r="F891" s="159">
        <f t="shared" si="255"/>
        <v>125666.1</v>
      </c>
      <c r="G891" s="159"/>
      <c r="H891" s="522">
        <f t="shared" si="256"/>
        <v>120743</v>
      </c>
      <c r="I891" s="522"/>
      <c r="J891" s="522">
        <f t="shared" si="257"/>
        <v>122224</v>
      </c>
      <c r="K891" s="522"/>
      <c r="L891" s="154"/>
      <c r="N891" s="154"/>
      <c r="O891" s="154"/>
    </row>
    <row r="892" spans="1:15" s="177" customFormat="1" x14ac:dyDescent="0.25">
      <c r="A892" s="273" t="s">
        <v>604</v>
      </c>
      <c r="B892" s="1">
        <v>11</v>
      </c>
      <c r="C892" s="4" t="s">
        <v>7</v>
      </c>
      <c r="D892" s="291" t="s">
        <v>603</v>
      </c>
      <c r="E892" s="285"/>
      <c r="F892" s="159">
        <f t="shared" si="255"/>
        <v>125666.1</v>
      </c>
      <c r="G892" s="159"/>
      <c r="H892" s="522">
        <f t="shared" si="256"/>
        <v>120743</v>
      </c>
      <c r="I892" s="522"/>
      <c r="J892" s="522">
        <f t="shared" si="257"/>
        <v>122224</v>
      </c>
      <c r="K892" s="522"/>
      <c r="L892" s="154"/>
      <c r="N892" s="154"/>
      <c r="O892" s="154"/>
    </row>
    <row r="893" spans="1:15" s="177" customFormat="1" ht="31.5" x14ac:dyDescent="0.25">
      <c r="A893" s="273" t="s">
        <v>606</v>
      </c>
      <c r="B893" s="1">
        <v>11</v>
      </c>
      <c r="C893" s="4" t="s">
        <v>7</v>
      </c>
      <c r="D893" s="291" t="s">
        <v>605</v>
      </c>
      <c r="E893" s="285"/>
      <c r="F893" s="159">
        <f t="shared" si="255"/>
        <v>125666.1</v>
      </c>
      <c r="G893" s="159"/>
      <c r="H893" s="522">
        <f t="shared" si="256"/>
        <v>120743</v>
      </c>
      <c r="I893" s="522"/>
      <c r="J893" s="522">
        <f t="shared" si="257"/>
        <v>122224</v>
      </c>
      <c r="K893" s="522"/>
      <c r="L893" s="154"/>
      <c r="N893" s="154"/>
      <c r="O893" s="154"/>
    </row>
    <row r="894" spans="1:15" s="177" customFormat="1" ht="31.5" x14ac:dyDescent="0.25">
      <c r="A894" s="253" t="s">
        <v>60</v>
      </c>
      <c r="B894" s="1">
        <v>11</v>
      </c>
      <c r="C894" s="4" t="s">
        <v>7</v>
      </c>
      <c r="D894" s="291" t="s">
        <v>605</v>
      </c>
      <c r="E894" s="285">
        <v>600</v>
      </c>
      <c r="F894" s="159">
        <f t="shared" si="255"/>
        <v>125666.1</v>
      </c>
      <c r="G894" s="159"/>
      <c r="H894" s="522">
        <f t="shared" si="256"/>
        <v>120743</v>
      </c>
      <c r="I894" s="522"/>
      <c r="J894" s="522">
        <f t="shared" si="257"/>
        <v>122224</v>
      </c>
      <c r="K894" s="522"/>
      <c r="L894" s="154"/>
      <c r="N894" s="154"/>
      <c r="O894" s="154"/>
    </row>
    <row r="895" spans="1:15" s="177" customFormat="1" x14ac:dyDescent="0.25">
      <c r="A895" s="273" t="s">
        <v>130</v>
      </c>
      <c r="B895" s="1">
        <v>11</v>
      </c>
      <c r="C895" s="4" t="s">
        <v>7</v>
      </c>
      <c r="D895" s="291" t="s">
        <v>605</v>
      </c>
      <c r="E895" s="285">
        <v>620</v>
      </c>
      <c r="F895" s="159">
        <f>'ведом. 2025-2027'!AD491</f>
        <v>125666.1</v>
      </c>
      <c r="G895" s="306"/>
      <c r="H895" s="522">
        <f>'ведом. 2025-2027'!AE491</f>
        <v>120743</v>
      </c>
      <c r="I895" s="522"/>
      <c r="J895" s="522">
        <f>'ведом. 2025-2027'!AF491</f>
        <v>122224</v>
      </c>
      <c r="K895" s="522"/>
      <c r="L895" s="154"/>
      <c r="N895" s="154"/>
      <c r="O895" s="154"/>
    </row>
    <row r="896" spans="1:15" s="138" customFormat="1" x14ac:dyDescent="0.25">
      <c r="A896" s="384" t="s">
        <v>437</v>
      </c>
      <c r="B896" s="182">
        <v>13</v>
      </c>
      <c r="C896" s="188"/>
      <c r="D896" s="280"/>
      <c r="E896" s="330"/>
      <c r="F896" s="161">
        <f>F898</f>
        <v>4534.5</v>
      </c>
      <c r="G896" s="347"/>
      <c r="H896" s="161">
        <f>H898</f>
        <v>40146.5</v>
      </c>
      <c r="I896" s="161"/>
      <c r="J896" s="161">
        <f>J898</f>
        <v>53573.599999999999</v>
      </c>
      <c r="K896" s="161"/>
      <c r="L896" s="154"/>
      <c r="N896" s="154"/>
      <c r="O896" s="154"/>
    </row>
    <row r="897" spans="1:15" s="177" customFormat="1" x14ac:dyDescent="0.25">
      <c r="A897" s="253" t="s">
        <v>438</v>
      </c>
      <c r="B897" s="11">
        <v>13</v>
      </c>
      <c r="C897" s="4" t="s">
        <v>29</v>
      </c>
      <c r="D897" s="156"/>
      <c r="E897" s="330"/>
      <c r="F897" s="159">
        <f>F898</f>
        <v>4534.5</v>
      </c>
      <c r="G897" s="306"/>
      <c r="H897" s="522">
        <f>H898</f>
        <v>40146.5</v>
      </c>
      <c r="I897" s="522"/>
      <c r="J897" s="522">
        <f>J898</f>
        <v>53573.599999999999</v>
      </c>
      <c r="K897" s="161"/>
      <c r="L897" s="154"/>
      <c r="N897" s="154"/>
      <c r="O897" s="154"/>
    </row>
    <row r="898" spans="1:15" s="138" customFormat="1" x14ac:dyDescent="0.25">
      <c r="A898" s="255" t="s">
        <v>186</v>
      </c>
      <c r="B898" s="11">
        <v>13</v>
      </c>
      <c r="C898" s="4" t="s">
        <v>29</v>
      </c>
      <c r="D898" s="156" t="s">
        <v>112</v>
      </c>
      <c r="E898" s="326"/>
      <c r="F898" s="159">
        <f>F902</f>
        <v>4534.5</v>
      </c>
      <c r="G898" s="306"/>
      <c r="H898" s="522">
        <f>H902</f>
        <v>40146.5</v>
      </c>
      <c r="I898" s="522"/>
      <c r="J898" s="522">
        <f>J902</f>
        <v>53573.599999999999</v>
      </c>
      <c r="K898" s="522"/>
      <c r="L898" s="154"/>
      <c r="M898" s="138" t="s">
        <v>361</v>
      </c>
      <c r="N898" s="154"/>
      <c r="O898" s="154"/>
    </row>
    <row r="899" spans="1:15" s="138" customFormat="1" x14ac:dyDescent="0.25">
      <c r="A899" s="259" t="s">
        <v>531</v>
      </c>
      <c r="B899" s="11">
        <v>13</v>
      </c>
      <c r="C899" s="4" t="s">
        <v>29</v>
      </c>
      <c r="D899" s="156" t="s">
        <v>405</v>
      </c>
      <c r="E899" s="326"/>
      <c r="F899" s="159">
        <f>F902</f>
        <v>4534.5</v>
      </c>
      <c r="G899" s="306"/>
      <c r="H899" s="522">
        <f>H902</f>
        <v>40146.5</v>
      </c>
      <c r="I899" s="522"/>
      <c r="J899" s="522">
        <f>J902</f>
        <v>53573.599999999999</v>
      </c>
      <c r="K899" s="522"/>
      <c r="L899" s="154"/>
      <c r="N899" s="154"/>
      <c r="O899" s="154"/>
    </row>
    <row r="900" spans="1:15" s="138" customFormat="1" ht="31.5" x14ac:dyDescent="0.25">
      <c r="A900" s="257" t="s">
        <v>532</v>
      </c>
      <c r="B900" s="11">
        <v>13</v>
      </c>
      <c r="C900" s="4" t="s">
        <v>29</v>
      </c>
      <c r="D900" s="156" t="s">
        <v>407</v>
      </c>
      <c r="E900" s="326"/>
      <c r="F900" s="159">
        <f>F901</f>
        <v>4534.5</v>
      </c>
      <c r="G900" s="306"/>
      <c r="H900" s="522">
        <f>H901</f>
        <v>40146.5</v>
      </c>
      <c r="I900" s="522"/>
      <c r="J900" s="522">
        <f>J901</f>
        <v>53573.599999999999</v>
      </c>
      <c r="K900" s="522"/>
      <c r="L900" s="154"/>
      <c r="N900" s="154"/>
      <c r="O900" s="154"/>
    </row>
    <row r="901" spans="1:15" s="138" customFormat="1" x14ac:dyDescent="0.25">
      <c r="A901" s="259" t="s">
        <v>188</v>
      </c>
      <c r="B901" s="11">
        <v>13</v>
      </c>
      <c r="C901" s="4" t="s">
        <v>29</v>
      </c>
      <c r="D901" s="156" t="s">
        <v>533</v>
      </c>
      <c r="E901" s="326"/>
      <c r="F901" s="159">
        <f>F902</f>
        <v>4534.5</v>
      </c>
      <c r="G901" s="306"/>
      <c r="H901" s="522">
        <f>H902</f>
        <v>40146.5</v>
      </c>
      <c r="I901" s="522"/>
      <c r="J901" s="522">
        <f>J902</f>
        <v>53573.599999999999</v>
      </c>
      <c r="K901" s="522"/>
      <c r="L901" s="154"/>
      <c r="N901" s="154"/>
      <c r="O901" s="154"/>
    </row>
    <row r="902" spans="1:15" s="138" customFormat="1" x14ac:dyDescent="0.25">
      <c r="A902" s="253" t="s">
        <v>67</v>
      </c>
      <c r="B902" s="11">
        <v>13</v>
      </c>
      <c r="C902" s="4" t="s">
        <v>29</v>
      </c>
      <c r="D902" s="156" t="s">
        <v>533</v>
      </c>
      <c r="E902" s="326">
        <v>700</v>
      </c>
      <c r="F902" s="159">
        <f>F903</f>
        <v>4534.5</v>
      </c>
      <c r="G902" s="306"/>
      <c r="H902" s="522">
        <f>H903</f>
        <v>40146.5</v>
      </c>
      <c r="I902" s="522"/>
      <c r="J902" s="522">
        <f>J903</f>
        <v>53573.599999999999</v>
      </c>
      <c r="K902" s="522"/>
      <c r="L902" s="154"/>
      <c r="N902" s="154"/>
      <c r="O902" s="154"/>
    </row>
    <row r="903" spans="1:15" s="138" customFormat="1" ht="17.25" thickBot="1" x14ac:dyDescent="0.3">
      <c r="A903" s="253" t="s">
        <v>355</v>
      </c>
      <c r="B903" s="11">
        <v>13</v>
      </c>
      <c r="C903" s="4" t="s">
        <v>29</v>
      </c>
      <c r="D903" s="156" t="s">
        <v>533</v>
      </c>
      <c r="E903" s="326">
        <v>730</v>
      </c>
      <c r="F903" s="164">
        <f>'ведом. 2025-2027'!AD499</f>
        <v>4534.5</v>
      </c>
      <c r="G903" s="353"/>
      <c r="H903" s="164">
        <f>'ведом. 2025-2027'!AE499</f>
        <v>40146.5</v>
      </c>
      <c r="I903" s="164"/>
      <c r="J903" s="164">
        <f>'ведом. 2025-2027'!AF499</f>
        <v>53573.599999999999</v>
      </c>
      <c r="K903" s="164"/>
      <c r="L903" s="154"/>
      <c r="N903" s="154"/>
      <c r="O903" s="154"/>
    </row>
    <row r="904" spans="1:15" s="138" customFormat="1" ht="17.25" thickBot="1" x14ac:dyDescent="0.3">
      <c r="A904" s="390" t="s">
        <v>56</v>
      </c>
      <c r="B904" s="190"/>
      <c r="C904" s="316"/>
      <c r="D904" s="323"/>
      <c r="E904" s="345"/>
      <c r="F904" s="307">
        <f t="shared" ref="F904:K904" si="258">F896+F874+F818+F754+F572+F377+F304+F234+F219+F15+F554+F810</f>
        <v>5409112.3000000007</v>
      </c>
      <c r="G904" s="307">
        <f t="shared" si="258"/>
        <v>2828854.6</v>
      </c>
      <c r="H904" s="307">
        <f t="shared" si="258"/>
        <v>3284433.0999999996</v>
      </c>
      <c r="I904" s="307">
        <f t="shared" si="258"/>
        <v>1420598.2</v>
      </c>
      <c r="J904" s="307">
        <f t="shared" si="258"/>
        <v>3189048.2</v>
      </c>
      <c r="K904" s="307">
        <f t="shared" si="258"/>
        <v>1312804.1000000001</v>
      </c>
      <c r="L904" s="154"/>
      <c r="N904" s="154"/>
      <c r="O904" s="154"/>
    </row>
    <row r="905" spans="1:15" x14ac:dyDescent="0.25">
      <c r="K905" s="146"/>
      <c r="O905" s="146"/>
    </row>
    <row r="906" spans="1:15" x14ac:dyDescent="0.25">
      <c r="J906" s="146"/>
      <c r="O906" s="146"/>
    </row>
    <row r="907" spans="1:15" x14ac:dyDescent="0.25">
      <c r="A907" s="170"/>
      <c r="B907" s="131"/>
      <c r="C907" s="131"/>
      <c r="D907" s="132"/>
      <c r="E907" s="131"/>
      <c r="G907" s="24"/>
      <c r="I907" s="24"/>
      <c r="J907" s="24"/>
      <c r="K907" s="24"/>
    </row>
    <row r="908" spans="1:15" x14ac:dyDescent="0.25">
      <c r="I908" s="24"/>
      <c r="J908" s="24"/>
    </row>
    <row r="909" spans="1:15" ht="12.75" x14ac:dyDescent="0.2">
      <c r="A909" s="129"/>
      <c r="B909" s="129"/>
      <c r="C909" s="129"/>
      <c r="D909" s="129"/>
      <c r="E909" s="129"/>
      <c r="F909" s="129"/>
      <c r="G909" s="129"/>
      <c r="H909" s="129"/>
      <c r="I909" s="129"/>
      <c r="J909" s="146"/>
    </row>
    <row r="910" spans="1:15" x14ac:dyDescent="0.25">
      <c r="J910" s="447"/>
    </row>
    <row r="911" spans="1:15" ht="12.75" x14ac:dyDescent="0.2">
      <c r="A911" s="129"/>
      <c r="B911" s="129"/>
      <c r="C911" s="129"/>
      <c r="D911" s="129"/>
      <c r="E911" s="129"/>
      <c r="F911" s="129"/>
      <c r="G911" s="129"/>
      <c r="H911" s="129"/>
      <c r="I911" s="129"/>
      <c r="J911" s="146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66"/>
  <sheetViews>
    <sheetView view="pageBreakPreview" topLeftCell="A731" zoomScale="88" zoomScaleNormal="75" zoomScaleSheetLayoutView="88" workbookViewId="0">
      <selection activeCell="AE754" sqref="AE754"/>
    </sheetView>
  </sheetViews>
  <sheetFormatPr defaultColWidth="9.28515625" defaultRowHeight="15.75" x14ac:dyDescent="0.25"/>
  <cols>
    <col min="1" max="1" width="97" style="133" customWidth="1"/>
    <col min="2" max="2" width="19.85546875" style="169" customWidth="1"/>
    <col min="3" max="3" width="6.7109375" style="136" customWidth="1"/>
    <col min="4" max="5" width="12.85546875" style="137" customWidth="1"/>
    <col min="6" max="6" width="13.5703125" style="138" customWidth="1"/>
    <col min="7" max="7" width="20" style="138" hidden="1" customWidth="1"/>
    <col min="8" max="30" width="9.28515625" style="138" hidden="1" customWidth="1"/>
    <col min="31" max="16384" width="9.28515625" style="138"/>
  </cols>
  <sheetData>
    <row r="1" spans="1:38" s="519" customFormat="1" ht="16.5" customHeight="1" x14ac:dyDescent="0.25">
      <c r="A1" s="133"/>
      <c r="B1" s="168"/>
      <c r="C1" s="28"/>
      <c r="D1" s="722" t="s">
        <v>593</v>
      </c>
      <c r="E1" s="719"/>
      <c r="F1" s="719"/>
    </row>
    <row r="2" spans="1:38" s="519" customFormat="1" ht="162.75" customHeight="1" x14ac:dyDescent="0.25">
      <c r="A2" s="133"/>
      <c r="B2" s="168"/>
      <c r="C2" s="28"/>
      <c r="D2" s="723" t="s">
        <v>829</v>
      </c>
      <c r="E2" s="723"/>
      <c r="F2" s="723"/>
    </row>
    <row r="3" spans="1:38" s="519" customFormat="1" ht="9.75" hidden="1" customHeight="1" x14ac:dyDescent="0.25">
      <c r="A3" s="133"/>
      <c r="B3" s="168"/>
      <c r="C3" s="28"/>
      <c r="D3" s="29"/>
      <c r="E3" s="29"/>
    </row>
    <row r="4" spans="1:38" s="519" customFormat="1" ht="23.25" customHeight="1" x14ac:dyDescent="0.25">
      <c r="A4" s="133"/>
      <c r="B4" s="679"/>
      <c r="C4" s="679"/>
      <c r="D4" s="722" t="s">
        <v>827</v>
      </c>
      <c r="E4" s="719"/>
      <c r="F4" s="719"/>
    </row>
    <row r="5" spans="1:38" s="519" customFormat="1" ht="111" customHeight="1" x14ac:dyDescent="0.2">
      <c r="A5" s="133"/>
      <c r="B5" s="579"/>
      <c r="C5" s="680"/>
      <c r="D5" s="723" t="s">
        <v>828</v>
      </c>
      <c r="E5" s="724"/>
      <c r="F5" s="724"/>
    </row>
    <row r="6" spans="1:38" s="519" customFormat="1" x14ac:dyDescent="0.25">
      <c r="A6" s="133"/>
      <c r="B6" s="145"/>
      <c r="C6" s="435"/>
      <c r="D6" s="10"/>
      <c r="E6" s="10"/>
    </row>
    <row r="7" spans="1:38" s="519" customFormat="1" x14ac:dyDescent="0.25">
      <c r="A7" s="133"/>
      <c r="B7" s="145"/>
      <c r="C7" s="435"/>
      <c r="D7" s="10"/>
      <c r="E7" s="10"/>
    </row>
    <row r="8" spans="1:38" s="519" customFormat="1" ht="77.45" customHeight="1" x14ac:dyDescent="0.2">
      <c r="A8" s="725" t="s">
        <v>787</v>
      </c>
      <c r="B8" s="725"/>
      <c r="C8" s="725"/>
      <c r="D8" s="726"/>
      <c r="E8" s="726"/>
      <c r="F8" s="727"/>
      <c r="AL8" s="519" t="s">
        <v>361</v>
      </c>
    </row>
    <row r="9" spans="1:38" x14ac:dyDescent="0.25">
      <c r="A9" s="21"/>
      <c r="B9" s="168"/>
      <c r="C9" s="28"/>
      <c r="D9" s="29"/>
      <c r="E9" s="29"/>
      <c r="F9" s="212"/>
      <c r="G9" s="211"/>
      <c r="H9" s="211"/>
      <c r="I9" s="211"/>
    </row>
    <row r="10" spans="1:38" ht="16.5" thickBot="1" x14ac:dyDescent="0.3">
      <c r="A10" s="21"/>
      <c r="B10" s="168"/>
      <c r="C10" s="28"/>
      <c r="D10" s="29"/>
      <c r="E10" s="29"/>
      <c r="F10" s="29" t="s">
        <v>149</v>
      </c>
      <c r="G10" s="231"/>
      <c r="H10" s="231"/>
      <c r="I10" s="231"/>
    </row>
    <row r="11" spans="1:38" ht="32.25" thickBot="1" x14ac:dyDescent="0.25">
      <c r="A11" s="580" t="s">
        <v>72</v>
      </c>
      <c r="B11" s="580" t="s">
        <v>1</v>
      </c>
      <c r="C11" s="580" t="s">
        <v>62</v>
      </c>
      <c r="D11" s="581" t="s">
        <v>435</v>
      </c>
      <c r="E11" s="581" t="s">
        <v>616</v>
      </c>
      <c r="F11" s="581" t="s">
        <v>645</v>
      </c>
      <c r="G11" s="202"/>
      <c r="H11" s="202"/>
      <c r="I11" s="202"/>
    </row>
    <row r="12" spans="1:38" ht="23.25" customHeight="1" thickBot="1" x14ac:dyDescent="0.3">
      <c r="A12" s="582">
        <v>1</v>
      </c>
      <c r="B12" s="591">
        <v>2</v>
      </c>
      <c r="C12" s="582">
        <v>3</v>
      </c>
      <c r="D12" s="582">
        <v>4</v>
      </c>
      <c r="E12" s="582">
        <v>5</v>
      </c>
      <c r="F12" s="582">
        <v>6</v>
      </c>
      <c r="G12" s="148"/>
      <c r="H12" s="150" t="s">
        <v>574</v>
      </c>
      <c r="I12" s="130"/>
    </row>
    <row r="13" spans="1:38" s="519" customFormat="1" ht="24" customHeight="1" x14ac:dyDescent="0.25">
      <c r="A13" s="588" t="s">
        <v>764</v>
      </c>
      <c r="B13" s="612" t="s">
        <v>765</v>
      </c>
      <c r="C13" s="589"/>
      <c r="D13" s="590">
        <f>D14</f>
        <v>650</v>
      </c>
      <c r="E13" s="590">
        <f t="shared" ref="E13:F13" si="0">E14</f>
        <v>0</v>
      </c>
      <c r="F13" s="590">
        <f t="shared" si="0"/>
        <v>0</v>
      </c>
      <c r="G13" s="170"/>
      <c r="H13" s="583"/>
      <c r="I13" s="584"/>
    </row>
    <row r="14" spans="1:38" s="519" customFormat="1" x14ac:dyDescent="0.25">
      <c r="A14" s="451" t="s">
        <v>766</v>
      </c>
      <c r="B14" s="613" t="s">
        <v>767</v>
      </c>
      <c r="C14" s="585"/>
      <c r="D14" s="586">
        <f>D15</f>
        <v>650</v>
      </c>
      <c r="E14" s="586">
        <f t="shared" ref="E14:F14" si="1">E15</f>
        <v>0</v>
      </c>
      <c r="F14" s="586">
        <f t="shared" si="1"/>
        <v>0</v>
      </c>
      <c r="G14" s="170"/>
      <c r="H14" s="583"/>
      <c r="I14" s="584"/>
    </row>
    <row r="15" spans="1:38" s="519" customFormat="1" ht="31.5" x14ac:dyDescent="0.25">
      <c r="A15" s="451" t="s">
        <v>768</v>
      </c>
      <c r="B15" s="613" t="s">
        <v>769</v>
      </c>
      <c r="C15" s="585"/>
      <c r="D15" s="586">
        <f>D16</f>
        <v>650</v>
      </c>
      <c r="E15" s="586">
        <f t="shared" ref="E15:AD15" si="2">E16</f>
        <v>0</v>
      </c>
      <c r="F15" s="586">
        <f t="shared" si="2"/>
        <v>0</v>
      </c>
      <c r="G15" s="586">
        <f t="shared" si="2"/>
        <v>0</v>
      </c>
      <c r="H15" s="586">
        <f t="shared" si="2"/>
        <v>0</v>
      </c>
      <c r="I15" s="586">
        <f t="shared" si="2"/>
        <v>0</v>
      </c>
      <c r="J15" s="586">
        <f t="shared" si="2"/>
        <v>0</v>
      </c>
      <c r="K15" s="586">
        <f t="shared" si="2"/>
        <v>0</v>
      </c>
      <c r="L15" s="586">
        <f t="shared" si="2"/>
        <v>0</v>
      </c>
      <c r="M15" s="586">
        <f t="shared" si="2"/>
        <v>0</v>
      </c>
      <c r="N15" s="586">
        <f t="shared" si="2"/>
        <v>0</v>
      </c>
      <c r="O15" s="586">
        <f t="shared" si="2"/>
        <v>0</v>
      </c>
      <c r="P15" s="586">
        <f t="shared" si="2"/>
        <v>0</v>
      </c>
      <c r="Q15" s="586">
        <f t="shared" si="2"/>
        <v>0</v>
      </c>
      <c r="R15" s="586">
        <f t="shared" si="2"/>
        <v>0</v>
      </c>
      <c r="S15" s="586">
        <f t="shared" si="2"/>
        <v>0</v>
      </c>
      <c r="T15" s="586">
        <f t="shared" si="2"/>
        <v>0</v>
      </c>
      <c r="U15" s="586">
        <f t="shared" si="2"/>
        <v>0</v>
      </c>
      <c r="V15" s="586">
        <f t="shared" si="2"/>
        <v>0</v>
      </c>
      <c r="W15" s="586">
        <f t="shared" si="2"/>
        <v>0</v>
      </c>
      <c r="X15" s="586">
        <f t="shared" si="2"/>
        <v>0</v>
      </c>
      <c r="Y15" s="586">
        <f t="shared" si="2"/>
        <v>0</v>
      </c>
      <c r="Z15" s="586">
        <f t="shared" si="2"/>
        <v>0</v>
      </c>
      <c r="AA15" s="586">
        <f t="shared" si="2"/>
        <v>0</v>
      </c>
      <c r="AB15" s="586">
        <f t="shared" si="2"/>
        <v>0</v>
      </c>
      <c r="AC15" s="586">
        <f t="shared" si="2"/>
        <v>0</v>
      </c>
      <c r="AD15" s="586">
        <f t="shared" si="2"/>
        <v>0</v>
      </c>
    </row>
    <row r="16" spans="1:38" s="519" customFormat="1" ht="47.25" x14ac:dyDescent="0.25">
      <c r="A16" s="451" t="s">
        <v>771</v>
      </c>
      <c r="B16" s="613" t="s">
        <v>770</v>
      </c>
      <c r="C16" s="585"/>
      <c r="D16" s="586">
        <f>D17</f>
        <v>650</v>
      </c>
      <c r="E16" s="586">
        <f t="shared" ref="E16:F16" si="3">E17</f>
        <v>0</v>
      </c>
      <c r="F16" s="586">
        <f t="shared" si="3"/>
        <v>0</v>
      </c>
      <c r="G16" s="170"/>
      <c r="H16" s="583"/>
      <c r="I16" s="584"/>
    </row>
    <row r="17" spans="1:30" s="519" customFormat="1" x14ac:dyDescent="0.25">
      <c r="A17" s="451" t="s">
        <v>97</v>
      </c>
      <c r="B17" s="613" t="s">
        <v>770</v>
      </c>
      <c r="C17" s="585">
        <v>300</v>
      </c>
      <c r="D17" s="586">
        <f>D18</f>
        <v>650</v>
      </c>
      <c r="E17" s="586">
        <f t="shared" ref="E17:F17" si="4">E18</f>
        <v>0</v>
      </c>
      <c r="F17" s="586">
        <f t="shared" si="4"/>
        <v>0</v>
      </c>
      <c r="G17" s="170"/>
      <c r="H17" s="583"/>
      <c r="I17" s="584"/>
    </row>
    <row r="18" spans="1:30" s="519" customFormat="1" x14ac:dyDescent="0.25">
      <c r="A18" s="451" t="s">
        <v>40</v>
      </c>
      <c r="B18" s="613" t="s">
        <v>770</v>
      </c>
      <c r="C18" s="585">
        <v>320</v>
      </c>
      <c r="D18" s="586">
        <f>'Функц. 2025-2027'!F817</f>
        <v>650</v>
      </c>
      <c r="E18" s="586">
        <f>'Функц. 2025-2027'!H817</f>
        <v>0</v>
      </c>
      <c r="F18" s="586">
        <f>'Функц. 2025-2027'!J817</f>
        <v>0</v>
      </c>
      <c r="G18" s="170"/>
      <c r="H18" s="583"/>
      <c r="I18" s="584"/>
    </row>
    <row r="19" spans="1:30" s="134" customFormat="1" x14ac:dyDescent="0.25">
      <c r="A19" s="587" t="s">
        <v>573</v>
      </c>
      <c r="B19" s="614" t="s">
        <v>114</v>
      </c>
      <c r="C19" s="592"/>
      <c r="D19" s="439">
        <f>D20+D29+D40+D66</f>
        <v>267172.8</v>
      </c>
      <c r="E19" s="439">
        <f>E20+E29+E40+E66</f>
        <v>190480</v>
      </c>
      <c r="F19" s="439">
        <f>F20+F29+F40+F66</f>
        <v>174769.90000000002</v>
      </c>
      <c r="G19" s="152"/>
    </row>
    <row r="20" spans="1:30" x14ac:dyDescent="0.25">
      <c r="A20" s="255" t="s">
        <v>490</v>
      </c>
      <c r="B20" s="156" t="s">
        <v>313</v>
      </c>
      <c r="C20" s="407"/>
      <c r="D20" s="27">
        <f>D21+D26</f>
        <v>33818.6</v>
      </c>
      <c r="E20" s="517">
        <f t="shared" ref="E20:F20" si="5">E21+E26</f>
        <v>29355.8</v>
      </c>
      <c r="F20" s="517">
        <f t="shared" si="5"/>
        <v>29511.7</v>
      </c>
      <c r="G20" s="490" t="e">
        <f>G21+#REF!</f>
        <v>#REF!</v>
      </c>
      <c r="H20" s="490" t="e">
        <f>H21+#REF!</f>
        <v>#REF!</v>
      </c>
      <c r="I20" s="490" t="e">
        <f>I21+#REF!</f>
        <v>#REF!</v>
      </c>
      <c r="J20" s="490" t="e">
        <f>J21+#REF!</f>
        <v>#REF!</v>
      </c>
      <c r="K20" s="490" t="e">
        <f>K21+#REF!</f>
        <v>#REF!</v>
      </c>
      <c r="L20" s="490" t="e">
        <f>L21+#REF!</f>
        <v>#REF!</v>
      </c>
      <c r="M20" s="490" t="e">
        <f>M21+#REF!</f>
        <v>#REF!</v>
      </c>
      <c r="N20" s="490" t="e">
        <f>N21+#REF!</f>
        <v>#REF!</v>
      </c>
      <c r="O20" s="490" t="e">
        <f>O21+#REF!</f>
        <v>#REF!</v>
      </c>
      <c r="P20" s="490" t="e">
        <f>P21+#REF!</f>
        <v>#REF!</v>
      </c>
      <c r="Q20" s="490" t="e">
        <f>Q21+#REF!</f>
        <v>#REF!</v>
      </c>
      <c r="R20" s="490" t="e">
        <f>R21+#REF!</f>
        <v>#REF!</v>
      </c>
      <c r="S20" s="490" t="e">
        <f>S21+#REF!</f>
        <v>#REF!</v>
      </c>
      <c r="T20" s="490" t="e">
        <f>T21+#REF!</f>
        <v>#REF!</v>
      </c>
      <c r="U20" s="490" t="e">
        <f>U21+#REF!</f>
        <v>#REF!</v>
      </c>
      <c r="V20" s="490" t="e">
        <f>V21+#REF!</f>
        <v>#REF!</v>
      </c>
      <c r="W20" s="490" t="e">
        <f>W21+#REF!</f>
        <v>#REF!</v>
      </c>
      <c r="X20" s="490" t="e">
        <f>X21+#REF!</f>
        <v>#REF!</v>
      </c>
      <c r="Y20" s="490" t="e">
        <f>Y21+#REF!</f>
        <v>#REF!</v>
      </c>
      <c r="Z20" s="490" t="e">
        <f>Z21+#REF!</f>
        <v>#REF!</v>
      </c>
      <c r="AA20" s="490" t="e">
        <f>AA21+#REF!</f>
        <v>#REF!</v>
      </c>
      <c r="AB20" s="490" t="e">
        <f>AB21+#REF!</f>
        <v>#REF!</v>
      </c>
      <c r="AC20" s="490" t="e">
        <f>AC21+#REF!</f>
        <v>#REF!</v>
      </c>
      <c r="AD20" s="490" t="e">
        <f>AD21+#REF!</f>
        <v>#REF!</v>
      </c>
    </row>
    <row r="21" spans="1:30" x14ac:dyDescent="0.25">
      <c r="A21" s="271" t="s">
        <v>314</v>
      </c>
      <c r="B21" s="156" t="s">
        <v>315</v>
      </c>
      <c r="C21" s="407"/>
      <c r="D21" s="27">
        <f t="shared" ref="D21:F23" si="6">D22</f>
        <v>30548.6</v>
      </c>
      <c r="E21" s="27">
        <f t="shared" si="6"/>
        <v>29355.8</v>
      </c>
      <c r="F21" s="27">
        <f t="shared" si="6"/>
        <v>29511.7</v>
      </c>
      <c r="G21" s="152"/>
    </row>
    <row r="22" spans="1:30" ht="31.5" x14ac:dyDescent="0.25">
      <c r="A22" s="391" t="s">
        <v>252</v>
      </c>
      <c r="B22" s="156" t="s">
        <v>253</v>
      </c>
      <c r="C22" s="407"/>
      <c r="D22" s="27">
        <f t="shared" si="6"/>
        <v>30548.6</v>
      </c>
      <c r="E22" s="27">
        <f t="shared" si="6"/>
        <v>29355.8</v>
      </c>
      <c r="F22" s="27">
        <f t="shared" si="6"/>
        <v>29511.7</v>
      </c>
      <c r="G22" s="152"/>
    </row>
    <row r="23" spans="1:30" ht="31.5" x14ac:dyDescent="0.25">
      <c r="A23" s="273" t="s">
        <v>60</v>
      </c>
      <c r="B23" s="156" t="s">
        <v>253</v>
      </c>
      <c r="C23" s="444">
        <v>600</v>
      </c>
      <c r="D23" s="27">
        <f t="shared" si="6"/>
        <v>30548.6</v>
      </c>
      <c r="E23" s="27">
        <f t="shared" si="6"/>
        <v>29355.8</v>
      </c>
      <c r="F23" s="27">
        <f t="shared" si="6"/>
        <v>29511.7</v>
      </c>
      <c r="G23" s="152"/>
    </row>
    <row r="24" spans="1:30" x14ac:dyDescent="0.25">
      <c r="A24" s="273" t="s">
        <v>61</v>
      </c>
      <c r="B24" s="156" t="s">
        <v>253</v>
      </c>
      <c r="C24" s="444">
        <v>610</v>
      </c>
      <c r="D24" s="27">
        <f>'Функц. 2025-2027'!F761</f>
        <v>30548.6</v>
      </c>
      <c r="E24" s="27">
        <f>'Функц. 2025-2027'!H761</f>
        <v>29355.8</v>
      </c>
      <c r="F24" s="27">
        <f>'Функц. 2025-2027'!J761</f>
        <v>29511.7</v>
      </c>
      <c r="G24" s="152"/>
    </row>
    <row r="25" spans="1:30" s="519" customFormat="1" ht="31.5" x14ac:dyDescent="0.25">
      <c r="A25" s="451" t="s">
        <v>803</v>
      </c>
      <c r="B25" s="542" t="s">
        <v>806</v>
      </c>
      <c r="C25" s="477"/>
      <c r="D25" s="517">
        <f>D26</f>
        <v>3270</v>
      </c>
      <c r="E25" s="517">
        <f t="shared" ref="E25:F27" si="7">E26</f>
        <v>0</v>
      </c>
      <c r="F25" s="517">
        <f t="shared" si="7"/>
        <v>0</v>
      </c>
      <c r="G25" s="520"/>
    </row>
    <row r="26" spans="1:30" s="519" customFormat="1" x14ac:dyDescent="0.25">
      <c r="A26" s="451" t="s">
        <v>804</v>
      </c>
      <c r="B26" s="542" t="s">
        <v>805</v>
      </c>
      <c r="C26" s="709"/>
      <c r="D26" s="517">
        <f>D27</f>
        <v>3270</v>
      </c>
      <c r="E26" s="517">
        <f t="shared" si="7"/>
        <v>0</v>
      </c>
      <c r="F26" s="517">
        <f t="shared" si="7"/>
        <v>0</v>
      </c>
      <c r="G26" s="520"/>
    </row>
    <row r="27" spans="1:30" s="519" customFormat="1" ht="31.5" x14ac:dyDescent="0.25">
      <c r="A27" s="451" t="s">
        <v>60</v>
      </c>
      <c r="B27" s="542" t="s">
        <v>805</v>
      </c>
      <c r="C27" s="453">
        <v>600</v>
      </c>
      <c r="D27" s="517">
        <f>D28</f>
        <v>3270</v>
      </c>
      <c r="E27" s="517">
        <f t="shared" si="7"/>
        <v>0</v>
      </c>
      <c r="F27" s="517">
        <f t="shared" si="7"/>
        <v>0</v>
      </c>
      <c r="G27" s="520"/>
    </row>
    <row r="28" spans="1:30" s="519" customFormat="1" x14ac:dyDescent="0.25">
      <c r="A28" s="451" t="s">
        <v>61</v>
      </c>
      <c r="B28" s="542" t="s">
        <v>805</v>
      </c>
      <c r="C28" s="453">
        <v>610</v>
      </c>
      <c r="D28" s="517">
        <f>'Функц. 2025-2027'!F765</f>
        <v>3270</v>
      </c>
      <c r="E28" s="517">
        <f>'Функц. 2025-2027'!H765</f>
        <v>0</v>
      </c>
      <c r="F28" s="517">
        <f>'Функц. 2025-2027'!J765</f>
        <v>0</v>
      </c>
      <c r="G28" s="520"/>
    </row>
    <row r="29" spans="1:30" x14ac:dyDescent="0.25">
      <c r="A29" s="271" t="s">
        <v>491</v>
      </c>
      <c r="B29" s="156" t="s">
        <v>140</v>
      </c>
      <c r="C29" s="593"/>
      <c r="D29" s="27">
        <f>D30</f>
        <v>38268.299999999996</v>
      </c>
      <c r="E29" s="517">
        <f t="shared" ref="E29:F29" si="8">E30</f>
        <v>37183.199999999997</v>
      </c>
      <c r="F29" s="517">
        <f t="shared" si="8"/>
        <v>37369.700000000004</v>
      </c>
      <c r="G29" s="152"/>
    </row>
    <row r="30" spans="1:30" ht="31.5" x14ac:dyDescent="0.25">
      <c r="A30" s="271" t="s">
        <v>254</v>
      </c>
      <c r="B30" s="156" t="s">
        <v>141</v>
      </c>
      <c r="C30" s="444"/>
      <c r="D30" s="27">
        <f>D31+D34+D37</f>
        <v>38268.299999999996</v>
      </c>
      <c r="E30" s="27">
        <f>E31+E34+E37</f>
        <v>37183.199999999997</v>
      </c>
      <c r="F30" s="27">
        <f>F31+F34+F37</f>
        <v>37369.700000000004</v>
      </c>
      <c r="G30" s="152"/>
    </row>
    <row r="31" spans="1:30" ht="31.5" x14ac:dyDescent="0.25">
      <c r="A31" s="391" t="s">
        <v>751</v>
      </c>
      <c r="B31" s="156" t="s">
        <v>255</v>
      </c>
      <c r="C31" s="444"/>
      <c r="D31" s="27">
        <f t="shared" ref="D31:F32" si="9">D32</f>
        <v>1000</v>
      </c>
      <c r="E31" s="27">
        <f t="shared" si="9"/>
        <v>1000</v>
      </c>
      <c r="F31" s="27">
        <f t="shared" si="9"/>
        <v>1000</v>
      </c>
      <c r="G31" s="152"/>
    </row>
    <row r="32" spans="1:30" ht="31.5" x14ac:dyDescent="0.25">
      <c r="A32" s="273" t="s">
        <v>60</v>
      </c>
      <c r="B32" s="156" t="s">
        <v>255</v>
      </c>
      <c r="C32" s="444">
        <v>600</v>
      </c>
      <c r="D32" s="27">
        <f t="shared" si="9"/>
        <v>1000</v>
      </c>
      <c r="E32" s="27">
        <f t="shared" si="9"/>
        <v>1000</v>
      </c>
      <c r="F32" s="27">
        <f t="shared" si="9"/>
        <v>1000</v>
      </c>
      <c r="G32" s="152"/>
    </row>
    <row r="33" spans="1:30" x14ac:dyDescent="0.25">
      <c r="A33" s="273" t="s">
        <v>61</v>
      </c>
      <c r="B33" s="156" t="s">
        <v>255</v>
      </c>
      <c r="C33" s="444">
        <v>610</v>
      </c>
      <c r="D33" s="27">
        <f>'Функц. 2025-2027'!F770</f>
        <v>1000</v>
      </c>
      <c r="E33" s="27">
        <f>'Функц. 2025-2027'!H770</f>
        <v>1000</v>
      </c>
      <c r="F33" s="27">
        <f>'Функц. 2025-2027'!J770</f>
        <v>1000</v>
      </c>
      <c r="G33" s="152"/>
    </row>
    <row r="34" spans="1:30" ht="31.5" x14ac:dyDescent="0.25">
      <c r="A34" s="273" t="s">
        <v>256</v>
      </c>
      <c r="B34" s="156" t="s">
        <v>257</v>
      </c>
      <c r="C34" s="444"/>
      <c r="D34" s="27">
        <f t="shared" ref="D34:F35" si="10">D35</f>
        <v>36893.599999999999</v>
      </c>
      <c r="E34" s="27">
        <f t="shared" si="10"/>
        <v>35800.5</v>
      </c>
      <c r="F34" s="27">
        <f t="shared" si="10"/>
        <v>35991.4</v>
      </c>
      <c r="G34" s="152"/>
    </row>
    <row r="35" spans="1:30" ht="31.5" x14ac:dyDescent="0.25">
      <c r="A35" s="273" t="s">
        <v>60</v>
      </c>
      <c r="B35" s="156" t="s">
        <v>257</v>
      </c>
      <c r="C35" s="444">
        <v>600</v>
      </c>
      <c r="D35" s="27">
        <f t="shared" si="10"/>
        <v>36893.599999999999</v>
      </c>
      <c r="E35" s="27">
        <f t="shared" si="10"/>
        <v>35800.5</v>
      </c>
      <c r="F35" s="27">
        <f t="shared" si="10"/>
        <v>35991.4</v>
      </c>
      <c r="G35" s="152"/>
    </row>
    <row r="36" spans="1:30" x14ac:dyDescent="0.25">
      <c r="A36" s="273" t="s">
        <v>61</v>
      </c>
      <c r="B36" s="156" t="s">
        <v>257</v>
      </c>
      <c r="C36" s="444">
        <v>610</v>
      </c>
      <c r="D36" s="27">
        <f>'Функц. 2025-2027'!F773</f>
        <v>36893.599999999999</v>
      </c>
      <c r="E36" s="27">
        <f>'Функц. 2025-2027'!H773</f>
        <v>35800.5</v>
      </c>
      <c r="F36" s="27">
        <f>'Функц. 2025-2027'!J773</f>
        <v>35991.4</v>
      </c>
      <c r="G36" s="152"/>
    </row>
    <row r="37" spans="1:30" s="177" customFormat="1" ht="31.5" x14ac:dyDescent="0.25">
      <c r="A37" s="375" t="s">
        <v>501</v>
      </c>
      <c r="B37" s="156" t="s">
        <v>399</v>
      </c>
      <c r="C37" s="444"/>
      <c r="D37" s="27">
        <f t="shared" ref="D37:F38" si="11">D38</f>
        <v>374.70000000000005</v>
      </c>
      <c r="E37" s="27">
        <f t="shared" si="11"/>
        <v>382.7</v>
      </c>
      <c r="F37" s="27">
        <f t="shared" si="11"/>
        <v>378.3</v>
      </c>
      <c r="G37" s="152"/>
    </row>
    <row r="38" spans="1:30" s="177" customFormat="1" ht="31.5" x14ac:dyDescent="0.25">
      <c r="A38" s="375" t="s">
        <v>60</v>
      </c>
      <c r="B38" s="156" t="s">
        <v>399</v>
      </c>
      <c r="C38" s="444">
        <v>600</v>
      </c>
      <c r="D38" s="27">
        <f t="shared" si="11"/>
        <v>374.70000000000005</v>
      </c>
      <c r="E38" s="27">
        <f t="shared" si="11"/>
        <v>382.7</v>
      </c>
      <c r="F38" s="27">
        <f t="shared" si="11"/>
        <v>378.3</v>
      </c>
      <c r="G38" s="152"/>
    </row>
    <row r="39" spans="1:30" s="177" customFormat="1" x14ac:dyDescent="0.25">
      <c r="A39" s="375" t="s">
        <v>61</v>
      </c>
      <c r="B39" s="156" t="s">
        <v>399</v>
      </c>
      <c r="C39" s="444">
        <v>610</v>
      </c>
      <c r="D39" s="27">
        <f>'Функц. 2025-2027'!F776</f>
        <v>374.70000000000005</v>
      </c>
      <c r="E39" s="27">
        <f>'Функц. 2025-2027'!H776</f>
        <v>382.7</v>
      </c>
      <c r="F39" s="27">
        <f>'Функц. 2025-2027'!J776</f>
        <v>378.3</v>
      </c>
      <c r="G39" s="152"/>
    </row>
    <row r="40" spans="1:30" ht="31.5" x14ac:dyDescent="0.25">
      <c r="A40" s="255" t="s">
        <v>492</v>
      </c>
      <c r="B40" s="156" t="s">
        <v>258</v>
      </c>
      <c r="C40" s="444"/>
      <c r="D40" s="27">
        <f>D41+D62+D58</f>
        <v>114220.9</v>
      </c>
      <c r="E40" s="517">
        <f t="shared" ref="E40:F40" si="12">E41+E62+E58</f>
        <v>80085</v>
      </c>
      <c r="F40" s="517">
        <f t="shared" si="12"/>
        <v>64032.5</v>
      </c>
      <c r="G40" s="152"/>
    </row>
    <row r="41" spans="1:30" x14ac:dyDescent="0.25">
      <c r="A41" s="255" t="s">
        <v>353</v>
      </c>
      <c r="B41" s="156" t="s">
        <v>493</v>
      </c>
      <c r="C41" s="444"/>
      <c r="D41" s="27">
        <f>D42+D51</f>
        <v>106780.4</v>
      </c>
      <c r="E41" s="27">
        <f>E42+E51</f>
        <v>79739.5</v>
      </c>
      <c r="F41" s="27">
        <f>F42+F51</f>
        <v>64032.5</v>
      </c>
      <c r="G41" s="152"/>
    </row>
    <row r="42" spans="1:30" x14ac:dyDescent="0.25">
      <c r="A42" s="391" t="s">
        <v>259</v>
      </c>
      <c r="B42" s="156" t="s">
        <v>552</v>
      </c>
      <c r="C42" s="444"/>
      <c r="D42" s="27">
        <f>D43+D48</f>
        <v>21085</v>
      </c>
      <c r="E42" s="27">
        <f>E43+E48</f>
        <v>130</v>
      </c>
      <c r="F42" s="27">
        <f>F43+F48</f>
        <v>0</v>
      </c>
      <c r="G42" s="152"/>
    </row>
    <row r="43" spans="1:30" ht="31.5" x14ac:dyDescent="0.25">
      <c r="A43" s="273" t="s">
        <v>260</v>
      </c>
      <c r="B43" s="156" t="s">
        <v>553</v>
      </c>
      <c r="C43" s="444"/>
      <c r="D43" s="27">
        <f>D46+D44</f>
        <v>20550</v>
      </c>
      <c r="E43" s="517">
        <f t="shared" ref="E43:AD43" si="13">E46+E44</f>
        <v>130</v>
      </c>
      <c r="F43" s="517">
        <f t="shared" si="13"/>
        <v>0</v>
      </c>
      <c r="G43" s="517">
        <f t="shared" si="13"/>
        <v>0</v>
      </c>
      <c r="H43" s="517">
        <f t="shared" si="13"/>
        <v>0</v>
      </c>
      <c r="I43" s="517">
        <f t="shared" si="13"/>
        <v>0</v>
      </c>
      <c r="J43" s="517">
        <f t="shared" si="13"/>
        <v>0</v>
      </c>
      <c r="K43" s="517">
        <f t="shared" si="13"/>
        <v>0</v>
      </c>
      <c r="L43" s="517">
        <f t="shared" si="13"/>
        <v>0</v>
      </c>
      <c r="M43" s="517">
        <f t="shared" si="13"/>
        <v>0</v>
      </c>
      <c r="N43" s="517">
        <f t="shared" si="13"/>
        <v>0</v>
      </c>
      <c r="O43" s="517">
        <f t="shared" si="13"/>
        <v>0</v>
      </c>
      <c r="P43" s="517">
        <f t="shared" si="13"/>
        <v>0</v>
      </c>
      <c r="Q43" s="517">
        <f t="shared" si="13"/>
        <v>0</v>
      </c>
      <c r="R43" s="517">
        <f t="shared" si="13"/>
        <v>0</v>
      </c>
      <c r="S43" s="517">
        <f t="shared" si="13"/>
        <v>0</v>
      </c>
      <c r="T43" s="517">
        <f t="shared" si="13"/>
        <v>0</v>
      </c>
      <c r="U43" s="517">
        <f t="shared" si="13"/>
        <v>0</v>
      </c>
      <c r="V43" s="517">
        <f t="shared" si="13"/>
        <v>0</v>
      </c>
      <c r="W43" s="517">
        <f t="shared" si="13"/>
        <v>0</v>
      </c>
      <c r="X43" s="517">
        <f t="shared" si="13"/>
        <v>0</v>
      </c>
      <c r="Y43" s="517">
        <f t="shared" si="13"/>
        <v>0</v>
      </c>
      <c r="Z43" s="517">
        <f t="shared" si="13"/>
        <v>0</v>
      </c>
      <c r="AA43" s="517">
        <f t="shared" si="13"/>
        <v>0</v>
      </c>
      <c r="AB43" s="517">
        <f t="shared" si="13"/>
        <v>0</v>
      </c>
      <c r="AC43" s="517">
        <f t="shared" si="13"/>
        <v>0</v>
      </c>
      <c r="AD43" s="517">
        <f t="shared" si="13"/>
        <v>0</v>
      </c>
    </row>
    <row r="44" spans="1:30" s="519" customFormat="1" x14ac:dyDescent="0.25">
      <c r="A44" s="375" t="s">
        <v>120</v>
      </c>
      <c r="B44" s="156" t="s">
        <v>553</v>
      </c>
      <c r="C44" s="444">
        <v>200</v>
      </c>
      <c r="D44" s="517">
        <f>D45</f>
        <v>10265</v>
      </c>
      <c r="E44" s="517">
        <f t="shared" ref="E44:F44" si="14">E45</f>
        <v>130</v>
      </c>
      <c r="F44" s="517">
        <f t="shared" si="14"/>
        <v>0</v>
      </c>
      <c r="G44" s="520"/>
    </row>
    <row r="45" spans="1:30" s="519" customFormat="1" x14ac:dyDescent="0.25">
      <c r="A45" s="375" t="s">
        <v>52</v>
      </c>
      <c r="B45" s="156" t="s">
        <v>553</v>
      </c>
      <c r="C45" s="444">
        <v>240</v>
      </c>
      <c r="D45" s="517">
        <f>'Функц. 2025-2027'!F782</f>
        <v>10265</v>
      </c>
      <c r="E45" s="517">
        <f>'Функц. 2025-2027'!H782</f>
        <v>130</v>
      </c>
      <c r="F45" s="517">
        <f>'Функц. 2025-2027'!J782</f>
        <v>0</v>
      </c>
      <c r="G45" s="520"/>
    </row>
    <row r="46" spans="1:30" ht="31.5" x14ac:dyDescent="0.25">
      <c r="A46" s="273" t="s">
        <v>60</v>
      </c>
      <c r="B46" s="156" t="s">
        <v>553</v>
      </c>
      <c r="C46" s="444">
        <v>600</v>
      </c>
      <c r="D46" s="27">
        <f>D47</f>
        <v>10285</v>
      </c>
      <c r="E46" s="27">
        <f>E47</f>
        <v>0</v>
      </c>
      <c r="F46" s="27">
        <f>F47</f>
        <v>0</v>
      </c>
      <c r="G46" s="152"/>
    </row>
    <row r="47" spans="1:30" x14ac:dyDescent="0.25">
      <c r="A47" s="273" t="s">
        <v>61</v>
      </c>
      <c r="B47" s="156" t="s">
        <v>553</v>
      </c>
      <c r="C47" s="444">
        <v>610</v>
      </c>
      <c r="D47" s="27">
        <f>'Функц. 2025-2027'!F784</f>
        <v>10285</v>
      </c>
      <c r="E47" s="27">
        <f>'Функц. 2025-2027'!H784</f>
        <v>0</v>
      </c>
      <c r="F47" s="27">
        <f>'Функц. 2025-2027'!J784</f>
        <v>0</v>
      </c>
      <c r="G47" s="152"/>
    </row>
    <row r="48" spans="1:30" ht="21.75" customHeight="1" x14ac:dyDescent="0.25">
      <c r="A48" s="523" t="s">
        <v>261</v>
      </c>
      <c r="B48" s="156" t="s">
        <v>554</v>
      </c>
      <c r="C48" s="444"/>
      <c r="D48" s="27">
        <f t="shared" ref="D48:F49" si="15">D49</f>
        <v>535</v>
      </c>
      <c r="E48" s="27">
        <f t="shared" si="15"/>
        <v>0</v>
      </c>
      <c r="F48" s="27">
        <f t="shared" si="15"/>
        <v>0</v>
      </c>
      <c r="G48" s="152"/>
    </row>
    <row r="49" spans="1:7" ht="31.5" x14ac:dyDescent="0.25">
      <c r="A49" s="273" t="s">
        <v>60</v>
      </c>
      <c r="B49" s="156" t="s">
        <v>554</v>
      </c>
      <c r="C49" s="444">
        <v>600</v>
      </c>
      <c r="D49" s="27">
        <f t="shared" si="15"/>
        <v>535</v>
      </c>
      <c r="E49" s="27">
        <f t="shared" si="15"/>
        <v>0</v>
      </c>
      <c r="F49" s="27">
        <f t="shared" si="15"/>
        <v>0</v>
      </c>
      <c r="G49" s="152"/>
    </row>
    <row r="50" spans="1:7" x14ac:dyDescent="0.25">
      <c r="A50" s="273" t="s">
        <v>61</v>
      </c>
      <c r="B50" s="156" t="s">
        <v>554</v>
      </c>
      <c r="C50" s="444">
        <v>610</v>
      </c>
      <c r="D50" s="27">
        <f>'Функц. 2025-2027'!F787</f>
        <v>535</v>
      </c>
      <c r="E50" s="27">
        <f>'Функц. 2025-2027'!H787</f>
        <v>0</v>
      </c>
      <c r="F50" s="27">
        <f>'Функц. 2025-2027'!J787</f>
        <v>0</v>
      </c>
      <c r="G50" s="152"/>
    </row>
    <row r="51" spans="1:7" ht="31.5" x14ac:dyDescent="0.25">
      <c r="A51" s="256" t="s">
        <v>354</v>
      </c>
      <c r="B51" s="156" t="s">
        <v>494</v>
      </c>
      <c r="C51" s="444"/>
      <c r="D51" s="27">
        <f>D52+D55</f>
        <v>85695.4</v>
      </c>
      <c r="E51" s="27">
        <f>E52+E55</f>
        <v>79609.5</v>
      </c>
      <c r="F51" s="27">
        <f>F52+F55</f>
        <v>64032.5</v>
      </c>
      <c r="G51" s="152"/>
    </row>
    <row r="52" spans="1:7" s="177" customFormat="1" ht="47.25" x14ac:dyDescent="0.25">
      <c r="A52" s="523" t="str">
        <f>'Функц. 2025-2027'!A789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52" s="156" t="s">
        <v>495</v>
      </c>
      <c r="C52" s="444"/>
      <c r="D52" s="27">
        <f t="shared" ref="D52:F53" si="16">D53</f>
        <v>41851.599999999999</v>
      </c>
      <c r="E52" s="27">
        <f t="shared" si="16"/>
        <v>37761.300000000003</v>
      </c>
      <c r="F52" s="27">
        <f t="shared" si="16"/>
        <v>21859.200000000001</v>
      </c>
      <c r="G52" s="152"/>
    </row>
    <row r="53" spans="1:7" s="177" customFormat="1" ht="31.5" x14ac:dyDescent="0.25">
      <c r="A53" s="523" t="str">
        <f>'Функц. 2025-2027'!A790</f>
        <v>Предоставление субсидий бюджетным, автономным учреждениям и иным некоммерческим организациям</v>
      </c>
      <c r="B53" s="156" t="s">
        <v>495</v>
      </c>
      <c r="C53" s="444">
        <v>600</v>
      </c>
      <c r="D53" s="27">
        <f t="shared" si="16"/>
        <v>41851.599999999999</v>
      </c>
      <c r="E53" s="27">
        <f t="shared" si="16"/>
        <v>37761.300000000003</v>
      </c>
      <c r="F53" s="27">
        <f t="shared" si="16"/>
        <v>21859.200000000001</v>
      </c>
      <c r="G53" s="152"/>
    </row>
    <row r="54" spans="1:7" s="177" customFormat="1" x14ac:dyDescent="0.25">
      <c r="A54" s="523" t="str">
        <f>'Функц. 2025-2027'!A791</f>
        <v>Субсидии бюджетным учреждениям</v>
      </c>
      <c r="B54" s="156" t="s">
        <v>495</v>
      </c>
      <c r="C54" s="444">
        <v>610</v>
      </c>
      <c r="D54" s="27">
        <f>'ведом. 2025-2027'!AD417</f>
        <v>41851.599999999999</v>
      </c>
      <c r="E54" s="27">
        <f>'ведом. 2025-2027'!AE417</f>
        <v>37761.300000000003</v>
      </c>
      <c r="F54" s="27">
        <f>'ведом. 2025-2027'!AF417</f>
        <v>21859.200000000001</v>
      </c>
      <c r="G54" s="152"/>
    </row>
    <row r="55" spans="1:7" s="177" customFormat="1" ht="47.25" x14ac:dyDescent="0.25">
      <c r="A55" s="523" t="str">
        <f>'Функц. 2025-2027'!A792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55" s="156" t="s">
        <v>496</v>
      </c>
      <c r="C55" s="444"/>
      <c r="D55" s="27">
        <f t="shared" ref="D55:F56" si="17">D56</f>
        <v>43843.8</v>
      </c>
      <c r="E55" s="27">
        <f t="shared" si="17"/>
        <v>41848.199999999997</v>
      </c>
      <c r="F55" s="27">
        <f t="shared" si="17"/>
        <v>42173.3</v>
      </c>
      <c r="G55" s="152"/>
    </row>
    <row r="56" spans="1:7" s="177" customFormat="1" ht="31.5" x14ac:dyDescent="0.25">
      <c r="A56" s="523" t="str">
        <f>'Функц. 2025-2027'!A793</f>
        <v>Предоставление субсидий бюджетным, автономным учреждениям и иным некоммерческим организациям</v>
      </c>
      <c r="B56" s="156" t="s">
        <v>496</v>
      </c>
      <c r="C56" s="444">
        <v>600</v>
      </c>
      <c r="D56" s="27">
        <f t="shared" si="17"/>
        <v>43843.8</v>
      </c>
      <c r="E56" s="27">
        <f t="shared" si="17"/>
        <v>41848.199999999997</v>
      </c>
      <c r="F56" s="27">
        <f t="shared" si="17"/>
        <v>42173.3</v>
      </c>
      <c r="G56" s="152"/>
    </row>
    <row r="57" spans="1:7" s="177" customFormat="1" x14ac:dyDescent="0.25">
      <c r="A57" s="523" t="str">
        <f>'Функц. 2025-2027'!A794</f>
        <v>Субсидии бюджетным учреждениям</v>
      </c>
      <c r="B57" s="156" t="s">
        <v>496</v>
      </c>
      <c r="C57" s="444">
        <v>610</v>
      </c>
      <c r="D57" s="27">
        <f>'ведом. 2025-2027'!AD420</f>
        <v>43843.8</v>
      </c>
      <c r="E57" s="27">
        <f>'ведом. 2025-2027'!AE420</f>
        <v>41848.199999999997</v>
      </c>
      <c r="F57" s="27">
        <f>'ведом. 2025-2027'!AF420</f>
        <v>42173.3</v>
      </c>
      <c r="G57" s="152"/>
    </row>
    <row r="58" spans="1:7" s="519" customFormat="1" ht="47.25" x14ac:dyDescent="0.25">
      <c r="A58" s="451" t="s">
        <v>807</v>
      </c>
      <c r="B58" s="542" t="s">
        <v>810</v>
      </c>
      <c r="C58" s="454"/>
      <c r="D58" s="517">
        <f>D59</f>
        <v>6000</v>
      </c>
      <c r="E58" s="517">
        <f t="shared" ref="E58:F60" si="18">E59</f>
        <v>0</v>
      </c>
      <c r="F58" s="517">
        <f t="shared" si="18"/>
        <v>0</v>
      </c>
      <c r="G58" s="520"/>
    </row>
    <row r="59" spans="1:7" s="519" customFormat="1" x14ac:dyDescent="0.25">
      <c r="A59" s="451" t="s">
        <v>808</v>
      </c>
      <c r="B59" s="542" t="s">
        <v>809</v>
      </c>
      <c r="C59" s="454"/>
      <c r="D59" s="517">
        <f>D60</f>
        <v>6000</v>
      </c>
      <c r="E59" s="517">
        <f t="shared" si="18"/>
        <v>0</v>
      </c>
      <c r="F59" s="517">
        <f t="shared" si="18"/>
        <v>0</v>
      </c>
      <c r="G59" s="520"/>
    </row>
    <row r="60" spans="1:7" s="519" customFormat="1" ht="31.5" x14ac:dyDescent="0.25">
      <c r="A60" s="451" t="s">
        <v>60</v>
      </c>
      <c r="B60" s="542" t="s">
        <v>809</v>
      </c>
      <c r="C60" s="454">
        <v>600</v>
      </c>
      <c r="D60" s="517">
        <f>D61</f>
        <v>6000</v>
      </c>
      <c r="E60" s="517">
        <f t="shared" si="18"/>
        <v>0</v>
      </c>
      <c r="F60" s="517">
        <f t="shared" si="18"/>
        <v>0</v>
      </c>
      <c r="G60" s="520"/>
    </row>
    <row r="61" spans="1:7" s="519" customFormat="1" x14ac:dyDescent="0.25">
      <c r="A61" s="451" t="s">
        <v>61</v>
      </c>
      <c r="B61" s="542" t="s">
        <v>809</v>
      </c>
      <c r="C61" s="454">
        <v>610</v>
      </c>
      <c r="D61" s="517">
        <f>'Функц. 2025-2027'!F798</f>
        <v>6000</v>
      </c>
      <c r="E61" s="517">
        <f>'Функц. 2025-2027'!H798</f>
        <v>0</v>
      </c>
      <c r="F61" s="517">
        <f>'Функц. 2025-2027'!J798</f>
        <v>0</v>
      </c>
      <c r="G61" s="520"/>
    </row>
    <row r="62" spans="1:7" s="177" customFormat="1" ht="31.5" x14ac:dyDescent="0.25">
      <c r="A62" s="523" t="s">
        <v>635</v>
      </c>
      <c r="B62" s="156" t="s">
        <v>636</v>
      </c>
      <c r="C62" s="429"/>
      <c r="D62" s="27">
        <f>D63</f>
        <v>1440.5</v>
      </c>
      <c r="E62" s="27">
        <f t="shared" ref="E62:F64" si="19">E63</f>
        <v>345.5</v>
      </c>
      <c r="F62" s="27">
        <f t="shared" si="19"/>
        <v>0</v>
      </c>
      <c r="G62" s="152"/>
    </row>
    <row r="63" spans="1:7" s="177" customFormat="1" ht="31.5" x14ac:dyDescent="0.25">
      <c r="A63" s="523" t="s">
        <v>637</v>
      </c>
      <c r="B63" s="156" t="s">
        <v>638</v>
      </c>
      <c r="C63" s="429"/>
      <c r="D63" s="27">
        <f>D64</f>
        <v>1440.5</v>
      </c>
      <c r="E63" s="27">
        <f t="shared" si="19"/>
        <v>345.5</v>
      </c>
      <c r="F63" s="27">
        <f t="shared" si="19"/>
        <v>0</v>
      </c>
      <c r="G63" s="152"/>
    </row>
    <row r="64" spans="1:7" s="177" customFormat="1" ht="31.5" x14ac:dyDescent="0.25">
      <c r="A64" s="523" t="s">
        <v>60</v>
      </c>
      <c r="B64" s="156" t="s">
        <v>638</v>
      </c>
      <c r="C64" s="429">
        <v>600</v>
      </c>
      <c r="D64" s="27">
        <f>D65</f>
        <v>1440.5</v>
      </c>
      <c r="E64" s="27">
        <f t="shared" si="19"/>
        <v>345.5</v>
      </c>
      <c r="F64" s="27">
        <f t="shared" si="19"/>
        <v>0</v>
      </c>
      <c r="G64" s="152"/>
    </row>
    <row r="65" spans="1:30" s="177" customFormat="1" x14ac:dyDescent="0.25">
      <c r="A65" s="523" t="s">
        <v>61</v>
      </c>
      <c r="B65" s="156" t="s">
        <v>638</v>
      </c>
      <c r="C65" s="429">
        <v>610</v>
      </c>
      <c r="D65" s="27">
        <f>'Функц. 2025-2027'!F802</f>
        <v>1440.5</v>
      </c>
      <c r="E65" s="27">
        <f>'Функц. 2025-2027'!H802</f>
        <v>345.5</v>
      </c>
      <c r="F65" s="27">
        <f>'Функц. 2025-2027'!J802</f>
        <v>0</v>
      </c>
      <c r="G65" s="152"/>
    </row>
    <row r="66" spans="1:30" s="177" customFormat="1" x14ac:dyDescent="0.25">
      <c r="A66" s="523" t="s">
        <v>497</v>
      </c>
      <c r="B66" s="156" t="s">
        <v>381</v>
      </c>
      <c r="C66" s="444"/>
      <c r="D66" s="27">
        <f>D67+D75+D71</f>
        <v>80865.000000000015</v>
      </c>
      <c r="E66" s="517">
        <f t="shared" ref="E66:F66" si="20">E67+E75+E71</f>
        <v>43856</v>
      </c>
      <c r="F66" s="517">
        <f t="shared" si="20"/>
        <v>43856</v>
      </c>
      <c r="G66" s="152"/>
    </row>
    <row r="67" spans="1:30" s="177" customFormat="1" ht="33.75" customHeight="1" x14ac:dyDescent="0.25">
      <c r="A67" s="523" t="s">
        <v>423</v>
      </c>
      <c r="B67" s="156" t="s">
        <v>382</v>
      </c>
      <c r="C67" s="407"/>
      <c r="D67" s="27">
        <f t="shared" ref="D67:F69" si="21">D68</f>
        <v>72348.100000000006</v>
      </c>
      <c r="E67" s="27">
        <f t="shared" si="21"/>
        <v>43856</v>
      </c>
      <c r="F67" s="27">
        <f t="shared" si="21"/>
        <v>43856</v>
      </c>
      <c r="G67" s="152"/>
    </row>
    <row r="68" spans="1:30" s="177" customFormat="1" ht="31.5" x14ac:dyDescent="0.25">
      <c r="A68" s="375" t="s">
        <v>380</v>
      </c>
      <c r="B68" s="156" t="s">
        <v>383</v>
      </c>
      <c r="C68" s="407"/>
      <c r="D68" s="27">
        <f t="shared" si="21"/>
        <v>72348.100000000006</v>
      </c>
      <c r="E68" s="27">
        <f t="shared" si="21"/>
        <v>43856</v>
      </c>
      <c r="F68" s="27">
        <f t="shared" si="21"/>
        <v>43856</v>
      </c>
      <c r="G68" s="152"/>
    </row>
    <row r="69" spans="1:30" s="177" customFormat="1" ht="31.5" x14ac:dyDescent="0.25">
      <c r="A69" s="523" t="s">
        <v>60</v>
      </c>
      <c r="B69" s="156" t="s">
        <v>383</v>
      </c>
      <c r="C69" s="407">
        <v>600</v>
      </c>
      <c r="D69" s="27">
        <f t="shared" si="21"/>
        <v>72348.100000000006</v>
      </c>
      <c r="E69" s="27">
        <f t="shared" si="21"/>
        <v>43856</v>
      </c>
      <c r="F69" s="27">
        <f t="shared" si="21"/>
        <v>43856</v>
      </c>
      <c r="G69" s="152"/>
    </row>
    <row r="70" spans="1:30" s="177" customFormat="1" x14ac:dyDescent="0.25">
      <c r="A70" s="523" t="s">
        <v>61</v>
      </c>
      <c r="B70" s="156" t="s">
        <v>383</v>
      </c>
      <c r="C70" s="407">
        <v>610</v>
      </c>
      <c r="D70" s="27">
        <f>'Функц. 2025-2027'!F666</f>
        <v>72348.100000000006</v>
      </c>
      <c r="E70" s="27">
        <f>'Функц. 2025-2027'!H666</f>
        <v>43856</v>
      </c>
      <c r="F70" s="27">
        <f>'Функц. 2025-2027'!J666</f>
        <v>43856</v>
      </c>
      <c r="G70" s="152"/>
    </row>
    <row r="71" spans="1:30" s="519" customFormat="1" ht="31.5" x14ac:dyDescent="0.25">
      <c r="A71" s="451" t="s">
        <v>740</v>
      </c>
      <c r="B71" s="613" t="s">
        <v>741</v>
      </c>
      <c r="C71" s="456"/>
      <c r="D71" s="517">
        <f>D72</f>
        <v>2499.8000000000002</v>
      </c>
      <c r="E71" s="517">
        <f t="shared" ref="E71:F73" si="22">E72</f>
        <v>0</v>
      </c>
      <c r="F71" s="517">
        <f t="shared" si="22"/>
        <v>0</v>
      </c>
      <c r="G71" s="520"/>
    </row>
    <row r="72" spans="1:30" s="519" customFormat="1" ht="31.5" x14ac:dyDescent="0.25">
      <c r="A72" s="479" t="s">
        <v>772</v>
      </c>
      <c r="B72" s="613" t="s">
        <v>742</v>
      </c>
      <c r="C72" s="456"/>
      <c r="D72" s="517">
        <f>D73</f>
        <v>2499.8000000000002</v>
      </c>
      <c r="E72" s="517">
        <f t="shared" si="22"/>
        <v>0</v>
      </c>
      <c r="F72" s="517">
        <f t="shared" si="22"/>
        <v>0</v>
      </c>
      <c r="G72" s="520"/>
    </row>
    <row r="73" spans="1:30" s="519" customFormat="1" ht="31.5" x14ac:dyDescent="0.25">
      <c r="A73" s="451" t="s">
        <v>60</v>
      </c>
      <c r="B73" s="613" t="s">
        <v>742</v>
      </c>
      <c r="C73" s="456">
        <v>600</v>
      </c>
      <c r="D73" s="517">
        <f>D74</f>
        <v>2499.8000000000002</v>
      </c>
      <c r="E73" s="517">
        <f t="shared" si="22"/>
        <v>0</v>
      </c>
      <c r="F73" s="517">
        <f t="shared" si="22"/>
        <v>0</v>
      </c>
      <c r="G73" s="520"/>
    </row>
    <row r="74" spans="1:30" s="519" customFormat="1" x14ac:dyDescent="0.25">
      <c r="A74" s="451" t="s">
        <v>61</v>
      </c>
      <c r="B74" s="613" t="s">
        <v>742</v>
      </c>
      <c r="C74" s="456">
        <v>610</v>
      </c>
      <c r="D74" s="517">
        <f>'Функц. 2025-2027'!F670</f>
        <v>2499.8000000000002</v>
      </c>
      <c r="E74" s="517">
        <f>'Функц. 2025-2027'!H670</f>
        <v>0</v>
      </c>
      <c r="F74" s="517">
        <f>'Функц. 2025-2027'!J670</f>
        <v>0</v>
      </c>
      <c r="G74" s="520"/>
    </row>
    <row r="75" spans="1:30" s="519" customFormat="1" x14ac:dyDescent="0.25">
      <c r="A75" s="451" t="s">
        <v>736</v>
      </c>
      <c r="B75" s="613" t="s">
        <v>739</v>
      </c>
      <c r="C75" s="456"/>
      <c r="D75" s="517">
        <f>D76</f>
        <v>6017.1</v>
      </c>
      <c r="E75" s="517">
        <f t="shared" ref="E75:F77" si="23">E76</f>
        <v>0</v>
      </c>
      <c r="F75" s="517">
        <f t="shared" si="23"/>
        <v>0</v>
      </c>
      <c r="G75" s="520"/>
    </row>
    <row r="76" spans="1:30" s="519" customFormat="1" ht="47.25" x14ac:dyDescent="0.25">
      <c r="A76" s="451" t="s">
        <v>737</v>
      </c>
      <c r="B76" s="613" t="s">
        <v>738</v>
      </c>
      <c r="C76" s="456"/>
      <c r="D76" s="517">
        <f>D77</f>
        <v>6017.1</v>
      </c>
      <c r="E76" s="517">
        <f t="shared" si="23"/>
        <v>0</v>
      </c>
      <c r="F76" s="517">
        <f t="shared" si="23"/>
        <v>0</v>
      </c>
      <c r="G76" s="520"/>
    </row>
    <row r="77" spans="1:30" s="519" customFormat="1" ht="31.5" x14ac:dyDescent="0.25">
      <c r="A77" s="451" t="s">
        <v>60</v>
      </c>
      <c r="B77" s="613" t="s">
        <v>738</v>
      </c>
      <c r="C77" s="456">
        <v>600</v>
      </c>
      <c r="D77" s="517">
        <f>D78</f>
        <v>6017.1</v>
      </c>
      <c r="E77" s="517">
        <f t="shared" si="23"/>
        <v>0</v>
      </c>
      <c r="F77" s="517">
        <f t="shared" si="23"/>
        <v>0</v>
      </c>
      <c r="G77" s="520"/>
    </row>
    <row r="78" spans="1:30" s="519" customFormat="1" x14ac:dyDescent="0.25">
      <c r="A78" s="451" t="s">
        <v>61</v>
      </c>
      <c r="B78" s="613" t="s">
        <v>738</v>
      </c>
      <c r="C78" s="456">
        <v>610</v>
      </c>
      <c r="D78" s="517">
        <f>'Функц. 2025-2027'!F674</f>
        <v>6017.1</v>
      </c>
      <c r="E78" s="517">
        <f>'Функц. 2025-2027'!H674</f>
        <v>0</v>
      </c>
      <c r="F78" s="517">
        <f>'Функц. 2025-2027'!J674</f>
        <v>0</v>
      </c>
      <c r="G78" s="520"/>
    </row>
    <row r="79" spans="1:30" s="134" customFormat="1" x14ac:dyDescent="0.25">
      <c r="A79" s="392" t="s">
        <v>262</v>
      </c>
      <c r="B79" s="615" t="s">
        <v>100</v>
      </c>
      <c r="C79" s="594"/>
      <c r="D79" s="30">
        <f>D80+D160+D172</f>
        <v>1496708.9999999998</v>
      </c>
      <c r="E79" s="518">
        <f>E80+E160+E172</f>
        <v>1306315.0999999999</v>
      </c>
      <c r="F79" s="518">
        <f>F80+F160+F172</f>
        <v>1302968.4000000001</v>
      </c>
      <c r="G79" s="152"/>
    </row>
    <row r="80" spans="1:30" x14ac:dyDescent="0.25">
      <c r="A80" s="271" t="s">
        <v>446</v>
      </c>
      <c r="B80" s="156" t="s">
        <v>117</v>
      </c>
      <c r="C80" s="444"/>
      <c r="D80" s="27">
        <f>D81+D122+D139+D150+D146+D135</f>
        <v>1397276.4999999998</v>
      </c>
      <c r="E80" s="517">
        <f t="shared" ref="E80:AD80" si="24">E81+E122+E139+E150+E146+E135</f>
        <v>1209503.7999999998</v>
      </c>
      <c r="F80" s="517">
        <f t="shared" si="24"/>
        <v>1203771</v>
      </c>
      <c r="G80" s="517" t="e">
        <f t="shared" si="24"/>
        <v>#REF!</v>
      </c>
      <c r="H80" s="517" t="e">
        <f t="shared" si="24"/>
        <v>#REF!</v>
      </c>
      <c r="I80" s="517" t="e">
        <f t="shared" si="24"/>
        <v>#REF!</v>
      </c>
      <c r="J80" s="517" t="e">
        <f t="shared" si="24"/>
        <v>#REF!</v>
      </c>
      <c r="K80" s="517" t="e">
        <f t="shared" si="24"/>
        <v>#REF!</v>
      </c>
      <c r="L80" s="517" t="e">
        <f t="shared" si="24"/>
        <v>#REF!</v>
      </c>
      <c r="M80" s="517" t="e">
        <f t="shared" si="24"/>
        <v>#REF!</v>
      </c>
      <c r="N80" s="517" t="e">
        <f t="shared" si="24"/>
        <v>#REF!</v>
      </c>
      <c r="O80" s="517" t="e">
        <f t="shared" si="24"/>
        <v>#REF!</v>
      </c>
      <c r="P80" s="517" t="e">
        <f t="shared" si="24"/>
        <v>#REF!</v>
      </c>
      <c r="Q80" s="517" t="e">
        <f t="shared" si="24"/>
        <v>#REF!</v>
      </c>
      <c r="R80" s="517" t="e">
        <f t="shared" si="24"/>
        <v>#REF!</v>
      </c>
      <c r="S80" s="517" t="e">
        <f t="shared" si="24"/>
        <v>#REF!</v>
      </c>
      <c r="T80" s="517" t="e">
        <f t="shared" si="24"/>
        <v>#REF!</v>
      </c>
      <c r="U80" s="517" t="e">
        <f t="shared" si="24"/>
        <v>#REF!</v>
      </c>
      <c r="V80" s="517" t="e">
        <f t="shared" si="24"/>
        <v>#REF!</v>
      </c>
      <c r="W80" s="517" t="e">
        <f t="shared" si="24"/>
        <v>#REF!</v>
      </c>
      <c r="X80" s="517" t="e">
        <f t="shared" si="24"/>
        <v>#REF!</v>
      </c>
      <c r="Y80" s="517" t="e">
        <f t="shared" si="24"/>
        <v>#REF!</v>
      </c>
      <c r="Z80" s="517" t="e">
        <f t="shared" si="24"/>
        <v>#REF!</v>
      </c>
      <c r="AA80" s="517" t="e">
        <f t="shared" si="24"/>
        <v>#REF!</v>
      </c>
      <c r="AB80" s="517" t="e">
        <f t="shared" si="24"/>
        <v>#REF!</v>
      </c>
      <c r="AC80" s="517" t="e">
        <f t="shared" si="24"/>
        <v>#REF!</v>
      </c>
      <c r="AD80" s="517" t="e">
        <f t="shared" si="24"/>
        <v>#REF!</v>
      </c>
    </row>
    <row r="81" spans="1:7" ht="31.5" x14ac:dyDescent="0.25">
      <c r="A81" s="255" t="s">
        <v>448</v>
      </c>
      <c r="B81" s="156" t="s">
        <v>447</v>
      </c>
      <c r="C81" s="407"/>
      <c r="D81" s="27">
        <f>D85+D104+D92+D101+D113+D82+D116+D119</f>
        <v>1295940.0999999999</v>
      </c>
      <c r="E81" s="517">
        <f>E85+E104+E92+E101+E113+E82+E116+E119</f>
        <v>1112655.3999999999</v>
      </c>
      <c r="F81" s="517">
        <f>F85+F104+F92+F101+F113+F82+F116+F119</f>
        <v>1119656</v>
      </c>
      <c r="G81" s="152"/>
    </row>
    <row r="82" spans="1:7" s="177" customFormat="1" ht="31.5" x14ac:dyDescent="0.25">
      <c r="A82" s="255" t="s">
        <v>685</v>
      </c>
      <c r="B82" s="613" t="s">
        <v>684</v>
      </c>
      <c r="C82" s="431"/>
      <c r="D82" s="27">
        <f t="shared" ref="D82:F83" si="25">D83</f>
        <v>30653.9</v>
      </c>
      <c r="E82" s="27">
        <f t="shared" si="25"/>
        <v>21201.200000000001</v>
      </c>
      <c r="F82" s="27">
        <f t="shared" si="25"/>
        <v>19198.599999999999</v>
      </c>
      <c r="G82" s="152"/>
    </row>
    <row r="83" spans="1:7" s="177" customFormat="1" x14ac:dyDescent="0.25">
      <c r="A83" s="394" t="s">
        <v>120</v>
      </c>
      <c r="B83" s="613" t="s">
        <v>684</v>
      </c>
      <c r="C83" s="429">
        <v>200</v>
      </c>
      <c r="D83" s="27">
        <f t="shared" si="25"/>
        <v>30653.9</v>
      </c>
      <c r="E83" s="27">
        <f t="shared" si="25"/>
        <v>21201.200000000001</v>
      </c>
      <c r="F83" s="27">
        <f t="shared" si="25"/>
        <v>19198.599999999999</v>
      </c>
      <c r="G83" s="152"/>
    </row>
    <row r="84" spans="1:7" s="177" customFormat="1" x14ac:dyDescent="0.25">
      <c r="A84" s="523" t="s">
        <v>52</v>
      </c>
      <c r="B84" s="613" t="s">
        <v>684</v>
      </c>
      <c r="C84" s="429">
        <v>240</v>
      </c>
      <c r="D84" s="27">
        <f>'Функц. 2025-2027'!F603</f>
        <v>30653.9</v>
      </c>
      <c r="E84" s="27">
        <f>'Функц. 2025-2027'!H603</f>
        <v>21201.200000000001</v>
      </c>
      <c r="F84" s="27">
        <f>'Функц. 2025-2027'!J603</f>
        <v>19198.599999999999</v>
      </c>
      <c r="G84" s="152"/>
    </row>
    <row r="85" spans="1:7" ht="31.5" x14ac:dyDescent="0.25">
      <c r="A85" s="393" t="s">
        <v>264</v>
      </c>
      <c r="B85" s="156" t="s">
        <v>450</v>
      </c>
      <c r="C85" s="595"/>
      <c r="D85" s="27">
        <f>D86+D89</f>
        <v>203982.8</v>
      </c>
      <c r="E85" s="27">
        <f>E86</f>
        <v>188071.3</v>
      </c>
      <c r="F85" s="27">
        <f>F86</f>
        <v>193971.5</v>
      </c>
      <c r="G85" s="152"/>
    </row>
    <row r="86" spans="1:7" ht="31.5" x14ac:dyDescent="0.25">
      <c r="A86" s="393" t="s">
        <v>333</v>
      </c>
      <c r="B86" s="156" t="s">
        <v>451</v>
      </c>
      <c r="C86" s="444"/>
      <c r="D86" s="27">
        <f t="shared" ref="D86:F87" si="26">D87</f>
        <v>184081.8</v>
      </c>
      <c r="E86" s="27">
        <f t="shared" si="26"/>
        <v>188071.3</v>
      </c>
      <c r="F86" s="27">
        <f t="shared" si="26"/>
        <v>193971.5</v>
      </c>
      <c r="G86" s="152"/>
    </row>
    <row r="87" spans="1:7" ht="31.5" x14ac:dyDescent="0.25">
      <c r="A87" s="273" t="s">
        <v>60</v>
      </c>
      <c r="B87" s="156" t="s">
        <v>451</v>
      </c>
      <c r="C87" s="444">
        <v>600</v>
      </c>
      <c r="D87" s="27">
        <f t="shared" si="26"/>
        <v>184081.8</v>
      </c>
      <c r="E87" s="27">
        <f t="shared" si="26"/>
        <v>188071.3</v>
      </c>
      <c r="F87" s="27">
        <f t="shared" si="26"/>
        <v>193971.5</v>
      </c>
      <c r="G87" s="152"/>
    </row>
    <row r="88" spans="1:7" x14ac:dyDescent="0.25">
      <c r="A88" s="273" t="s">
        <v>61</v>
      </c>
      <c r="B88" s="156" t="s">
        <v>451</v>
      </c>
      <c r="C88" s="444">
        <v>610</v>
      </c>
      <c r="D88" s="27">
        <f>'Функц. 2025-2027'!F580</f>
        <v>184081.8</v>
      </c>
      <c r="E88" s="27">
        <f>'Функц. 2025-2027'!H580</f>
        <v>188071.3</v>
      </c>
      <c r="F88" s="27">
        <f>'Функц. 2025-2027'!J580</f>
        <v>193971.5</v>
      </c>
      <c r="G88" s="152"/>
    </row>
    <row r="89" spans="1:7" s="519" customFormat="1" ht="47.25" x14ac:dyDescent="0.25">
      <c r="A89" s="451" t="s">
        <v>728</v>
      </c>
      <c r="B89" s="542" t="s">
        <v>823</v>
      </c>
      <c r="C89" s="454"/>
      <c r="D89" s="517">
        <f>D90</f>
        <v>19901</v>
      </c>
      <c r="E89" s="517">
        <f t="shared" ref="E89:F90" si="27">E90</f>
        <v>0</v>
      </c>
      <c r="F89" s="517">
        <f t="shared" si="27"/>
        <v>0</v>
      </c>
      <c r="G89" s="520"/>
    </row>
    <row r="90" spans="1:7" s="519" customFormat="1" ht="31.5" x14ac:dyDescent="0.25">
      <c r="A90" s="451" t="s">
        <v>60</v>
      </c>
      <c r="B90" s="542" t="s">
        <v>823</v>
      </c>
      <c r="C90" s="454">
        <v>600</v>
      </c>
      <c r="D90" s="517">
        <f>D91</f>
        <v>19901</v>
      </c>
      <c r="E90" s="517">
        <f t="shared" si="27"/>
        <v>0</v>
      </c>
      <c r="F90" s="517">
        <f t="shared" si="27"/>
        <v>0</v>
      </c>
      <c r="G90" s="520"/>
    </row>
    <row r="91" spans="1:7" s="519" customFormat="1" x14ac:dyDescent="0.25">
      <c r="A91" s="451" t="s">
        <v>61</v>
      </c>
      <c r="B91" s="542" t="s">
        <v>823</v>
      </c>
      <c r="C91" s="454">
        <v>610</v>
      </c>
      <c r="D91" s="517">
        <f>'Функц. 2025-2027'!F583</f>
        <v>19901</v>
      </c>
      <c r="E91" s="517">
        <f>'Функц. 2025-2027'!H583</f>
        <v>0</v>
      </c>
      <c r="F91" s="517">
        <f>'Функц. 2025-2027'!J583</f>
        <v>0</v>
      </c>
      <c r="G91" s="520"/>
    </row>
    <row r="92" spans="1:7" ht="47.25" x14ac:dyDescent="0.25">
      <c r="A92" s="271" t="s">
        <v>432</v>
      </c>
      <c r="B92" s="156" t="s">
        <v>468</v>
      </c>
      <c r="C92" s="444"/>
      <c r="D92" s="27">
        <f>D93+D96</f>
        <v>257196.40000000002</v>
      </c>
      <c r="E92" s="27">
        <f>E93+E96</f>
        <v>101185.9</v>
      </c>
      <c r="F92" s="27">
        <f>F93+F96</f>
        <v>104288.90000000001</v>
      </c>
      <c r="G92" s="152"/>
    </row>
    <row r="93" spans="1:7" ht="47.25" x14ac:dyDescent="0.25">
      <c r="A93" s="271" t="s">
        <v>728</v>
      </c>
      <c r="B93" s="156" t="s">
        <v>469</v>
      </c>
      <c r="C93" s="595"/>
      <c r="D93" s="27">
        <f t="shared" ref="D93:F94" si="28">D94</f>
        <v>117951.70000000001</v>
      </c>
      <c r="E93" s="27">
        <f t="shared" si="28"/>
        <v>101185.9</v>
      </c>
      <c r="F93" s="27">
        <f t="shared" si="28"/>
        <v>104288.90000000001</v>
      </c>
      <c r="G93" s="152"/>
    </row>
    <row r="94" spans="1:7" ht="31.5" x14ac:dyDescent="0.25">
      <c r="A94" s="273" t="s">
        <v>60</v>
      </c>
      <c r="B94" s="156" t="s">
        <v>469</v>
      </c>
      <c r="C94" s="444">
        <v>600</v>
      </c>
      <c r="D94" s="27">
        <f t="shared" si="28"/>
        <v>117951.70000000001</v>
      </c>
      <c r="E94" s="27">
        <f t="shared" si="28"/>
        <v>101185.9</v>
      </c>
      <c r="F94" s="27">
        <f t="shared" si="28"/>
        <v>104288.90000000001</v>
      </c>
      <c r="G94" s="152"/>
    </row>
    <row r="95" spans="1:7" x14ac:dyDescent="0.25">
      <c r="A95" s="273" t="s">
        <v>61</v>
      </c>
      <c r="B95" s="156" t="s">
        <v>469</v>
      </c>
      <c r="C95" s="444">
        <v>610</v>
      </c>
      <c r="D95" s="27">
        <f>'Функц. 2025-2027'!F607</f>
        <v>117951.70000000001</v>
      </c>
      <c r="E95" s="27">
        <f>'Функц. 2025-2027'!H607</f>
        <v>101185.9</v>
      </c>
      <c r="F95" s="27">
        <f>'Функц. 2025-2027'!J607</f>
        <v>104288.90000000001</v>
      </c>
      <c r="G95" s="152"/>
    </row>
    <row r="96" spans="1:7" ht="47.25" x14ac:dyDescent="0.25">
      <c r="A96" s="273" t="s">
        <v>509</v>
      </c>
      <c r="B96" s="156" t="s">
        <v>470</v>
      </c>
      <c r="C96" s="444"/>
      <c r="D96" s="27">
        <f>D99+D97</f>
        <v>139244.70000000001</v>
      </c>
      <c r="E96" s="517">
        <f t="shared" ref="E96:F96" si="29">E99+E97</f>
        <v>0</v>
      </c>
      <c r="F96" s="517">
        <f t="shared" si="29"/>
        <v>0</v>
      </c>
      <c r="G96" s="152"/>
    </row>
    <row r="97" spans="1:7" s="519" customFormat="1" x14ac:dyDescent="0.25">
      <c r="A97" s="394" t="s">
        <v>120</v>
      </c>
      <c r="B97" s="156" t="s">
        <v>470</v>
      </c>
      <c r="C97" s="444">
        <v>200</v>
      </c>
      <c r="D97" s="517">
        <f>D98</f>
        <v>124655.7</v>
      </c>
      <c r="E97" s="517">
        <f t="shared" ref="E97:F97" si="30">E98</f>
        <v>0</v>
      </c>
      <c r="F97" s="517">
        <f t="shared" si="30"/>
        <v>0</v>
      </c>
      <c r="G97" s="520"/>
    </row>
    <row r="98" spans="1:7" s="519" customFormat="1" x14ac:dyDescent="0.25">
      <c r="A98" s="523" t="s">
        <v>52</v>
      </c>
      <c r="B98" s="156" t="s">
        <v>470</v>
      </c>
      <c r="C98" s="444">
        <v>240</v>
      </c>
      <c r="D98" s="517">
        <f>'Функц. 2025-2027'!F610</f>
        <v>124655.7</v>
      </c>
      <c r="E98" s="517">
        <f>'Функц. 2025-2027'!H610</f>
        <v>0</v>
      </c>
      <c r="F98" s="517">
        <f>'Функц. 2025-2027'!J610</f>
        <v>0</v>
      </c>
      <c r="G98" s="520"/>
    </row>
    <row r="99" spans="1:7" ht="31.5" x14ac:dyDescent="0.25">
      <c r="A99" s="273" t="s">
        <v>60</v>
      </c>
      <c r="B99" s="156" t="s">
        <v>470</v>
      </c>
      <c r="C99" s="444">
        <v>600</v>
      </c>
      <c r="D99" s="27">
        <f t="shared" ref="D99:F99" si="31">D100</f>
        <v>14589</v>
      </c>
      <c r="E99" s="27">
        <f t="shared" si="31"/>
        <v>0</v>
      </c>
      <c r="F99" s="27">
        <f t="shared" si="31"/>
        <v>0</v>
      </c>
      <c r="G99" s="152"/>
    </row>
    <row r="100" spans="1:7" x14ac:dyDescent="0.25">
      <c r="A100" s="273" t="s">
        <v>61</v>
      </c>
      <c r="B100" s="156" t="s">
        <v>470</v>
      </c>
      <c r="C100" s="444">
        <v>610</v>
      </c>
      <c r="D100" s="27">
        <f>'Функц. 2025-2027'!F612</f>
        <v>14589</v>
      </c>
      <c r="E100" s="27">
        <f>'Функц. 2025-2027'!H612</f>
        <v>0</v>
      </c>
      <c r="F100" s="27">
        <f>'Функц. 2025-2027'!J612</f>
        <v>0</v>
      </c>
      <c r="G100" s="152"/>
    </row>
    <row r="101" spans="1:7" ht="126" x14ac:dyDescent="0.25">
      <c r="A101" s="274" t="s">
        <v>511</v>
      </c>
      <c r="B101" s="26" t="s">
        <v>471</v>
      </c>
      <c r="C101" s="407"/>
      <c r="D101" s="27">
        <f t="shared" ref="D101:F102" si="32">D102</f>
        <v>734136</v>
      </c>
      <c r="E101" s="27">
        <f t="shared" si="32"/>
        <v>734136</v>
      </c>
      <c r="F101" s="27">
        <f t="shared" si="32"/>
        <v>734136</v>
      </c>
      <c r="G101" s="152"/>
    </row>
    <row r="102" spans="1:7" ht="31.5" x14ac:dyDescent="0.25">
      <c r="A102" s="273" t="s">
        <v>60</v>
      </c>
      <c r="B102" s="26" t="s">
        <v>471</v>
      </c>
      <c r="C102" s="444">
        <v>600</v>
      </c>
      <c r="D102" s="27">
        <f t="shared" si="32"/>
        <v>734136</v>
      </c>
      <c r="E102" s="27">
        <f t="shared" si="32"/>
        <v>734136</v>
      </c>
      <c r="F102" s="27">
        <f t="shared" si="32"/>
        <v>734136</v>
      </c>
      <c r="G102" s="152"/>
    </row>
    <row r="103" spans="1:7" x14ac:dyDescent="0.25">
      <c r="A103" s="273" t="s">
        <v>61</v>
      </c>
      <c r="B103" s="26" t="s">
        <v>471</v>
      </c>
      <c r="C103" s="444">
        <v>610</v>
      </c>
      <c r="D103" s="27">
        <f>'Функц. 2025-2027'!F615+'Функц. 2025-2027'!F680+'Функц. 2025-2027'!F586</f>
        <v>734136</v>
      </c>
      <c r="E103" s="27">
        <f>'Функц. 2025-2027'!H586+'Функц. 2025-2027'!H615+'Функц. 2025-2027'!H680</f>
        <v>734136</v>
      </c>
      <c r="F103" s="27">
        <f>'Функц. 2025-2027'!J680+'Функц. 2025-2027'!J586+'Функц. 2025-2027'!J615</f>
        <v>734136</v>
      </c>
      <c r="G103" s="152"/>
    </row>
    <row r="104" spans="1:7" s="177" customFormat="1" ht="47.25" x14ac:dyDescent="0.25">
      <c r="A104" s="273" t="s">
        <v>122</v>
      </c>
      <c r="B104" s="156" t="s">
        <v>467</v>
      </c>
      <c r="C104" s="444"/>
      <c r="D104" s="27">
        <f>D109+D107+D111+D105</f>
        <v>14906</v>
      </c>
      <c r="E104" s="517">
        <f t="shared" ref="E104:F104" si="33">E109+E107+E111+E105</f>
        <v>14906</v>
      </c>
      <c r="F104" s="517">
        <f t="shared" si="33"/>
        <v>14906</v>
      </c>
      <c r="G104" s="152"/>
    </row>
    <row r="105" spans="1:7" s="519" customFormat="1" ht="47.25" x14ac:dyDescent="0.25">
      <c r="A105" s="451" t="s">
        <v>41</v>
      </c>
      <c r="B105" s="156" t="s">
        <v>467</v>
      </c>
      <c r="C105" s="444">
        <v>100</v>
      </c>
      <c r="D105" s="517">
        <f>D106</f>
        <v>536.1</v>
      </c>
      <c r="E105" s="517">
        <f t="shared" ref="E105:F105" si="34">E106</f>
        <v>826</v>
      </c>
      <c r="F105" s="517">
        <f t="shared" si="34"/>
        <v>826</v>
      </c>
      <c r="G105" s="520"/>
    </row>
    <row r="106" spans="1:7" s="519" customFormat="1" x14ac:dyDescent="0.25">
      <c r="A106" s="451" t="s">
        <v>68</v>
      </c>
      <c r="B106" s="156" t="s">
        <v>467</v>
      </c>
      <c r="C106" s="444">
        <v>110</v>
      </c>
      <c r="D106" s="517">
        <f>'Функц. 2025-2027'!F843</f>
        <v>536.1</v>
      </c>
      <c r="E106" s="517">
        <f>'Функц. 2025-2027'!H843</f>
        <v>826</v>
      </c>
      <c r="F106" s="517">
        <f>'Функц. 2025-2027'!J843</f>
        <v>826</v>
      </c>
      <c r="G106" s="520"/>
    </row>
    <row r="107" spans="1:7" s="177" customFormat="1" x14ac:dyDescent="0.25">
      <c r="A107" s="394" t="s">
        <v>120</v>
      </c>
      <c r="B107" s="156" t="s">
        <v>467</v>
      </c>
      <c r="C107" s="444">
        <v>200</v>
      </c>
      <c r="D107" s="27">
        <f>D108</f>
        <v>139</v>
      </c>
      <c r="E107" s="27">
        <f>E108</f>
        <v>139</v>
      </c>
      <c r="F107" s="27">
        <f>F108</f>
        <v>139</v>
      </c>
      <c r="G107" s="152"/>
    </row>
    <row r="108" spans="1:7" s="177" customFormat="1" x14ac:dyDescent="0.25">
      <c r="A108" s="523" t="s">
        <v>52</v>
      </c>
      <c r="B108" s="156" t="s">
        <v>467</v>
      </c>
      <c r="C108" s="444">
        <v>240</v>
      </c>
      <c r="D108" s="27">
        <f>'Функц. 2025-2027'!F845</f>
        <v>139</v>
      </c>
      <c r="E108" s="27">
        <f>'Функц. 2025-2027'!H845</f>
        <v>139</v>
      </c>
      <c r="F108" s="27">
        <f>'Функц. 2025-2027'!J845</f>
        <v>139</v>
      </c>
      <c r="G108" s="152"/>
    </row>
    <row r="109" spans="1:7" s="177" customFormat="1" x14ac:dyDescent="0.25">
      <c r="A109" s="273" t="s">
        <v>97</v>
      </c>
      <c r="B109" s="156" t="s">
        <v>467</v>
      </c>
      <c r="C109" s="444">
        <v>300</v>
      </c>
      <c r="D109" s="27">
        <f>D110</f>
        <v>13941</v>
      </c>
      <c r="E109" s="27">
        <f>E110</f>
        <v>13941</v>
      </c>
      <c r="F109" s="27">
        <f>F110</f>
        <v>13941</v>
      </c>
      <c r="G109" s="152"/>
    </row>
    <row r="110" spans="1:7" s="177" customFormat="1" x14ac:dyDescent="0.25">
      <c r="A110" s="273" t="s">
        <v>131</v>
      </c>
      <c r="B110" s="156" t="s">
        <v>467</v>
      </c>
      <c r="C110" s="444">
        <v>310</v>
      </c>
      <c r="D110" s="27">
        <f>'Функц. 2025-2027'!F847</f>
        <v>13941</v>
      </c>
      <c r="E110" s="27">
        <f>'Функц. 2025-2027'!H847</f>
        <v>13941</v>
      </c>
      <c r="F110" s="27">
        <f>'Функц. 2025-2027'!J847</f>
        <v>13941</v>
      </c>
      <c r="G110" s="152"/>
    </row>
    <row r="111" spans="1:7" s="177" customFormat="1" ht="31.5" x14ac:dyDescent="0.25">
      <c r="A111" s="273" t="s">
        <v>60</v>
      </c>
      <c r="B111" s="156" t="s">
        <v>467</v>
      </c>
      <c r="C111" s="444">
        <v>600</v>
      </c>
      <c r="D111" s="27">
        <f>D112</f>
        <v>289.89999999999998</v>
      </c>
      <c r="E111" s="27">
        <f>E112</f>
        <v>0</v>
      </c>
      <c r="F111" s="27">
        <f>F112</f>
        <v>0</v>
      </c>
      <c r="G111" s="152"/>
    </row>
    <row r="112" spans="1:7" s="177" customFormat="1" x14ac:dyDescent="0.25">
      <c r="A112" s="273" t="s">
        <v>61</v>
      </c>
      <c r="B112" s="156" t="s">
        <v>467</v>
      </c>
      <c r="C112" s="444">
        <v>610</v>
      </c>
      <c r="D112" s="27">
        <f>'Функц. 2025-2027'!F849</f>
        <v>289.89999999999998</v>
      </c>
      <c r="E112" s="27">
        <f>'Функц. 2025-2027'!H849</f>
        <v>0</v>
      </c>
      <c r="F112" s="27">
        <f>'Функц. 2025-2027'!J849</f>
        <v>0</v>
      </c>
      <c r="G112" s="152"/>
    </row>
    <row r="113" spans="1:30" s="177" customFormat="1" ht="36.75" customHeight="1" x14ac:dyDescent="0.25">
      <c r="A113" s="523" t="s">
        <v>773</v>
      </c>
      <c r="B113" s="156" t="s">
        <v>624</v>
      </c>
      <c r="C113" s="326"/>
      <c r="D113" s="27">
        <f t="shared" ref="D113:F114" si="35">D114</f>
        <v>1908</v>
      </c>
      <c r="E113" s="27">
        <f t="shared" si="35"/>
        <v>1908</v>
      </c>
      <c r="F113" s="27">
        <f t="shared" si="35"/>
        <v>1908</v>
      </c>
      <c r="G113" s="152"/>
    </row>
    <row r="114" spans="1:30" s="177" customFormat="1" ht="31.5" x14ac:dyDescent="0.25">
      <c r="A114" s="523" t="s">
        <v>60</v>
      </c>
      <c r="B114" s="156" t="s">
        <v>624</v>
      </c>
      <c r="C114" s="326">
        <v>600</v>
      </c>
      <c r="D114" s="27">
        <f t="shared" si="35"/>
        <v>1908</v>
      </c>
      <c r="E114" s="27">
        <f t="shared" si="35"/>
        <v>1908</v>
      </c>
      <c r="F114" s="27">
        <f t="shared" si="35"/>
        <v>1908</v>
      </c>
      <c r="G114" s="152"/>
    </row>
    <row r="115" spans="1:30" s="177" customFormat="1" x14ac:dyDescent="0.25">
      <c r="A115" s="523" t="s">
        <v>61</v>
      </c>
      <c r="B115" s="156" t="s">
        <v>624</v>
      </c>
      <c r="C115" s="326">
        <v>610</v>
      </c>
      <c r="D115" s="27">
        <f>'Функц. 2025-2027'!F618+'Функц. 2025-2027'!F589</f>
        <v>1908</v>
      </c>
      <c r="E115" s="433">
        <f>'Функц. 2025-2027'!H618+'Функц. 2025-2027'!H589</f>
        <v>1908</v>
      </c>
      <c r="F115" s="27">
        <f>'Функц. 2025-2027'!J618+'Функц. 2025-2027'!J589</f>
        <v>1908</v>
      </c>
      <c r="G115" s="152"/>
    </row>
    <row r="116" spans="1:30" s="519" customFormat="1" ht="63" x14ac:dyDescent="0.25">
      <c r="A116" s="451" t="s">
        <v>656</v>
      </c>
      <c r="B116" s="616" t="s">
        <v>657</v>
      </c>
      <c r="C116" s="460"/>
      <c r="D116" s="517">
        <f>D117</f>
        <v>1910</v>
      </c>
      <c r="E116" s="517">
        <f t="shared" ref="E116:F117" si="36">E117</f>
        <v>0</v>
      </c>
      <c r="F116" s="517">
        <f t="shared" si="36"/>
        <v>0</v>
      </c>
      <c r="G116" s="520"/>
    </row>
    <row r="117" spans="1:30" s="519" customFormat="1" ht="31.5" x14ac:dyDescent="0.25">
      <c r="A117" s="451" t="s">
        <v>60</v>
      </c>
      <c r="B117" s="616" t="s">
        <v>657</v>
      </c>
      <c r="C117" s="460">
        <v>600</v>
      </c>
      <c r="D117" s="517">
        <f>D118</f>
        <v>1910</v>
      </c>
      <c r="E117" s="517">
        <f t="shared" si="36"/>
        <v>0</v>
      </c>
      <c r="F117" s="517">
        <f t="shared" si="36"/>
        <v>0</v>
      </c>
      <c r="G117" s="520"/>
    </row>
    <row r="118" spans="1:30" s="519" customFormat="1" x14ac:dyDescent="0.25">
      <c r="A118" s="451" t="s">
        <v>61</v>
      </c>
      <c r="B118" s="616" t="s">
        <v>657</v>
      </c>
      <c r="C118" s="460">
        <v>610</v>
      </c>
      <c r="D118" s="517">
        <f>'Функц. 2025-2027'!F621</f>
        <v>1910</v>
      </c>
      <c r="E118" s="517">
        <f>'Функц. 2025-2027'!I621</f>
        <v>0</v>
      </c>
      <c r="F118" s="517">
        <f>'Функц. 2025-2027'!J621</f>
        <v>0</v>
      </c>
      <c r="G118" s="520"/>
    </row>
    <row r="119" spans="1:30" s="519" customFormat="1" ht="31.5" x14ac:dyDescent="0.25">
      <c r="A119" s="451" t="s">
        <v>780</v>
      </c>
      <c r="B119" s="616" t="s">
        <v>662</v>
      </c>
      <c r="C119" s="460"/>
      <c r="D119" s="517">
        <f>D120</f>
        <v>51247</v>
      </c>
      <c r="E119" s="517">
        <f t="shared" ref="E119:AD120" si="37">E120</f>
        <v>51247</v>
      </c>
      <c r="F119" s="517">
        <f t="shared" si="37"/>
        <v>51247</v>
      </c>
      <c r="G119" s="517">
        <f t="shared" si="37"/>
        <v>0</v>
      </c>
      <c r="H119" s="517">
        <f t="shared" si="37"/>
        <v>0</v>
      </c>
      <c r="I119" s="517">
        <f t="shared" si="37"/>
        <v>0</v>
      </c>
      <c r="J119" s="517">
        <f t="shared" si="37"/>
        <v>0</v>
      </c>
      <c r="K119" s="517">
        <f t="shared" si="37"/>
        <v>0</v>
      </c>
      <c r="L119" s="517">
        <f t="shared" si="37"/>
        <v>0</v>
      </c>
      <c r="M119" s="517">
        <f t="shared" si="37"/>
        <v>0</v>
      </c>
      <c r="N119" s="517">
        <f t="shared" si="37"/>
        <v>0</v>
      </c>
      <c r="O119" s="517">
        <f t="shared" si="37"/>
        <v>0</v>
      </c>
      <c r="P119" s="517">
        <f t="shared" si="37"/>
        <v>0</v>
      </c>
      <c r="Q119" s="517">
        <f t="shared" si="37"/>
        <v>0</v>
      </c>
      <c r="R119" s="517">
        <f t="shared" si="37"/>
        <v>0</v>
      </c>
      <c r="S119" s="517">
        <f t="shared" si="37"/>
        <v>0</v>
      </c>
      <c r="T119" s="517">
        <f t="shared" si="37"/>
        <v>0</v>
      </c>
      <c r="U119" s="517">
        <f t="shared" si="37"/>
        <v>0</v>
      </c>
      <c r="V119" s="517">
        <f t="shared" si="37"/>
        <v>0</v>
      </c>
      <c r="W119" s="517">
        <f t="shared" si="37"/>
        <v>0</v>
      </c>
      <c r="X119" s="517">
        <f t="shared" si="37"/>
        <v>0</v>
      </c>
      <c r="Y119" s="517">
        <f t="shared" si="37"/>
        <v>0</v>
      </c>
      <c r="Z119" s="517">
        <f t="shared" si="37"/>
        <v>0</v>
      </c>
      <c r="AA119" s="517">
        <f t="shared" si="37"/>
        <v>0</v>
      </c>
      <c r="AB119" s="517">
        <f t="shared" si="37"/>
        <v>0</v>
      </c>
      <c r="AC119" s="517">
        <f t="shared" si="37"/>
        <v>0</v>
      </c>
      <c r="AD119" s="517">
        <f t="shared" si="37"/>
        <v>0</v>
      </c>
    </row>
    <row r="120" spans="1:30" s="519" customFormat="1" ht="31.5" x14ac:dyDescent="0.25">
      <c r="A120" s="451" t="s">
        <v>60</v>
      </c>
      <c r="B120" s="616" t="s">
        <v>662</v>
      </c>
      <c r="C120" s="460">
        <v>600</v>
      </c>
      <c r="D120" s="517">
        <f>D121</f>
        <v>51247</v>
      </c>
      <c r="E120" s="517">
        <f t="shared" si="37"/>
        <v>51247</v>
      </c>
      <c r="F120" s="517">
        <f t="shared" si="37"/>
        <v>51247</v>
      </c>
      <c r="G120" s="520"/>
    </row>
    <row r="121" spans="1:30" s="519" customFormat="1" x14ac:dyDescent="0.25">
      <c r="A121" s="451" t="s">
        <v>61</v>
      </c>
      <c r="B121" s="616" t="s">
        <v>662</v>
      </c>
      <c r="C121" s="460">
        <v>610</v>
      </c>
      <c r="D121" s="517">
        <f>'Функц. 2025-2027'!F592+'Функц. 2025-2027'!F624</f>
        <v>51247</v>
      </c>
      <c r="E121" s="517">
        <f>'Функц. 2025-2027'!H592+'Функц. 2025-2027'!H624</f>
        <v>51247</v>
      </c>
      <c r="F121" s="517">
        <f>'Функц. 2025-2027'!J592+'Функц. 2025-2027'!J624</f>
        <v>51247</v>
      </c>
      <c r="G121" s="520"/>
    </row>
    <row r="122" spans="1:30" s="177" customFormat="1" ht="47.25" x14ac:dyDescent="0.25">
      <c r="A122" s="273" t="s">
        <v>449</v>
      </c>
      <c r="B122" s="156" t="s">
        <v>126</v>
      </c>
      <c r="C122" s="444"/>
      <c r="D122" s="27">
        <f>D123+D126+D129+D132</f>
        <v>48825.299999999996</v>
      </c>
      <c r="E122" s="517">
        <f t="shared" ref="E122:F122" si="38">E123+E126+E129+E132</f>
        <v>51469</v>
      </c>
      <c r="F122" s="517">
        <f t="shared" si="38"/>
        <v>38704.6</v>
      </c>
      <c r="G122" s="517" t="e">
        <f>G123+#REF!+#REF!+G126</f>
        <v>#REF!</v>
      </c>
      <c r="H122" s="517" t="e">
        <f>H123+#REF!+#REF!+H126</f>
        <v>#REF!</v>
      </c>
      <c r="I122" s="517" t="e">
        <f>I123+#REF!+#REF!+I126</f>
        <v>#REF!</v>
      </c>
      <c r="J122" s="517" t="e">
        <f>J123+#REF!+#REF!+J126</f>
        <v>#REF!</v>
      </c>
      <c r="K122" s="517" t="e">
        <f>K123+#REF!+#REF!+K126</f>
        <v>#REF!</v>
      </c>
      <c r="L122" s="517" t="e">
        <f>L123+#REF!+#REF!+L126</f>
        <v>#REF!</v>
      </c>
      <c r="M122" s="517" t="e">
        <f>M123+#REF!+#REF!+M126</f>
        <v>#REF!</v>
      </c>
      <c r="N122" s="517" t="e">
        <f>N123+#REF!+#REF!+N126</f>
        <v>#REF!</v>
      </c>
      <c r="O122" s="517" t="e">
        <f>O123+#REF!+#REF!+O126</f>
        <v>#REF!</v>
      </c>
      <c r="P122" s="517" t="e">
        <f>P123+#REF!+#REF!+P126</f>
        <v>#REF!</v>
      </c>
      <c r="Q122" s="517" t="e">
        <f>Q123+#REF!+#REF!+Q126</f>
        <v>#REF!</v>
      </c>
      <c r="R122" s="517" t="e">
        <f>R123+#REF!+#REF!+R126</f>
        <v>#REF!</v>
      </c>
      <c r="S122" s="517" t="e">
        <f>S123+#REF!+#REF!+S126</f>
        <v>#REF!</v>
      </c>
      <c r="T122" s="517" t="e">
        <f>T123+#REF!+#REF!+T126</f>
        <v>#REF!</v>
      </c>
      <c r="U122" s="517" t="e">
        <f>U123+#REF!+#REF!+U126</f>
        <v>#REF!</v>
      </c>
      <c r="V122" s="517" t="e">
        <f>V123+#REF!+#REF!+V126</f>
        <v>#REF!</v>
      </c>
      <c r="W122" s="517" t="e">
        <f>W123+#REF!+#REF!+W126</f>
        <v>#REF!</v>
      </c>
      <c r="X122" s="517" t="e">
        <f>X123+#REF!+#REF!+X126</f>
        <v>#REF!</v>
      </c>
      <c r="Y122" s="517" t="e">
        <f>Y123+#REF!+#REF!+Y126</f>
        <v>#REF!</v>
      </c>
      <c r="Z122" s="517" t="e">
        <f>Z123+#REF!+#REF!+Z126</f>
        <v>#REF!</v>
      </c>
      <c r="AA122" s="517" t="e">
        <f>AA123+#REF!+#REF!+AA126</f>
        <v>#REF!</v>
      </c>
      <c r="AB122" s="517" t="e">
        <f>AB123+#REF!+#REF!+AB126</f>
        <v>#REF!</v>
      </c>
      <c r="AC122" s="517" t="e">
        <f>AC123+#REF!+#REF!+AC126</f>
        <v>#REF!</v>
      </c>
      <c r="AD122" s="517" t="e">
        <f>AD123+#REF!+#REF!+AD126</f>
        <v>#REF!</v>
      </c>
    </row>
    <row r="123" spans="1:30" ht="31.5" x14ac:dyDescent="0.25">
      <c r="A123" s="273" t="s">
        <v>510</v>
      </c>
      <c r="B123" s="156" t="s">
        <v>472</v>
      </c>
      <c r="C123" s="444"/>
      <c r="D123" s="27">
        <f t="shared" ref="D123:F124" si="39">D124</f>
        <v>18</v>
      </c>
      <c r="E123" s="27">
        <f t="shared" si="39"/>
        <v>18</v>
      </c>
      <c r="F123" s="27">
        <f t="shared" si="39"/>
        <v>18</v>
      </c>
      <c r="G123" s="152"/>
    </row>
    <row r="124" spans="1:30" ht="31.5" x14ac:dyDescent="0.25">
      <c r="A124" s="273" t="s">
        <v>60</v>
      </c>
      <c r="B124" s="156" t="s">
        <v>472</v>
      </c>
      <c r="C124" s="407">
        <v>600</v>
      </c>
      <c r="D124" s="27">
        <f t="shared" si="39"/>
        <v>18</v>
      </c>
      <c r="E124" s="27">
        <f t="shared" si="39"/>
        <v>18</v>
      </c>
      <c r="F124" s="27">
        <f t="shared" si="39"/>
        <v>18</v>
      </c>
      <c r="G124" s="152"/>
    </row>
    <row r="125" spans="1:30" x14ac:dyDescent="0.25">
      <c r="A125" s="273" t="s">
        <v>61</v>
      </c>
      <c r="B125" s="156" t="s">
        <v>472</v>
      </c>
      <c r="C125" s="407">
        <v>610</v>
      </c>
      <c r="D125" s="27">
        <f>'Функц. 2025-2027'!F628</f>
        <v>18</v>
      </c>
      <c r="E125" s="27">
        <f>'Функц. 2025-2027'!H628</f>
        <v>18</v>
      </c>
      <c r="F125" s="27">
        <f>'Функц. 2025-2027'!J628</f>
        <v>18</v>
      </c>
      <c r="G125" s="152"/>
    </row>
    <row r="126" spans="1:30" s="177" customFormat="1" ht="63" x14ac:dyDescent="0.25">
      <c r="A126" s="451" t="s">
        <v>750</v>
      </c>
      <c r="B126" s="26" t="s">
        <v>749</v>
      </c>
      <c r="C126" s="444"/>
      <c r="D126" s="27">
        <f t="shared" ref="D126:F127" si="40">D127</f>
        <v>39953.799999999996</v>
      </c>
      <c r="E126" s="27">
        <f t="shared" si="40"/>
        <v>39547.4</v>
      </c>
      <c r="F126" s="27">
        <f t="shared" si="40"/>
        <v>38686.6</v>
      </c>
      <c r="G126" s="152"/>
    </row>
    <row r="127" spans="1:30" s="177" customFormat="1" x14ac:dyDescent="0.25">
      <c r="A127" s="273" t="s">
        <v>120</v>
      </c>
      <c r="B127" s="26" t="s">
        <v>749</v>
      </c>
      <c r="C127" s="444">
        <v>200</v>
      </c>
      <c r="D127" s="27">
        <f t="shared" si="40"/>
        <v>39953.799999999996</v>
      </c>
      <c r="E127" s="27">
        <f t="shared" si="40"/>
        <v>39547.4</v>
      </c>
      <c r="F127" s="27">
        <f t="shared" si="40"/>
        <v>38686.6</v>
      </c>
      <c r="G127" s="152"/>
    </row>
    <row r="128" spans="1:30" s="177" customFormat="1" x14ac:dyDescent="0.25">
      <c r="A128" s="273" t="s">
        <v>52</v>
      </c>
      <c r="B128" s="26" t="s">
        <v>749</v>
      </c>
      <c r="C128" s="444">
        <v>240</v>
      </c>
      <c r="D128" s="27">
        <f>'Функц. 2025-2027'!F631</f>
        <v>39953.799999999996</v>
      </c>
      <c r="E128" s="27">
        <f>'Функц. 2025-2027'!H631</f>
        <v>39547.4</v>
      </c>
      <c r="F128" s="27">
        <f>'Функц. 2025-2027'!J631</f>
        <v>38686.6</v>
      </c>
      <c r="G128" s="152"/>
    </row>
    <row r="129" spans="1:7" s="519" customFormat="1" ht="63" x14ac:dyDescent="0.25">
      <c r="A129" s="451" t="s">
        <v>801</v>
      </c>
      <c r="B129" s="458" t="s">
        <v>802</v>
      </c>
      <c r="C129" s="456"/>
      <c r="D129" s="517">
        <f>D130</f>
        <v>2163</v>
      </c>
      <c r="E129" s="517">
        <f t="shared" ref="E129:F130" si="41">E130</f>
        <v>0</v>
      </c>
      <c r="F129" s="517">
        <f t="shared" si="41"/>
        <v>0</v>
      </c>
      <c r="G129" s="520"/>
    </row>
    <row r="130" spans="1:7" s="519" customFormat="1" ht="31.5" x14ac:dyDescent="0.25">
      <c r="A130" s="451" t="s">
        <v>60</v>
      </c>
      <c r="B130" s="458" t="s">
        <v>802</v>
      </c>
      <c r="C130" s="456">
        <v>600</v>
      </c>
      <c r="D130" s="517">
        <f>D131</f>
        <v>2163</v>
      </c>
      <c r="E130" s="517">
        <f t="shared" si="41"/>
        <v>0</v>
      </c>
      <c r="F130" s="517">
        <f t="shared" si="41"/>
        <v>0</v>
      </c>
      <c r="G130" s="520"/>
    </row>
    <row r="131" spans="1:7" s="519" customFormat="1" x14ac:dyDescent="0.25">
      <c r="A131" s="451" t="s">
        <v>61</v>
      </c>
      <c r="B131" s="458" t="s">
        <v>802</v>
      </c>
      <c r="C131" s="456">
        <v>610</v>
      </c>
      <c r="D131" s="517">
        <f>'Функц. 2025-2027'!F596</f>
        <v>2163</v>
      </c>
      <c r="E131" s="517">
        <f>'Функц. 2025-2027'!H596</f>
        <v>0</v>
      </c>
      <c r="F131" s="517">
        <f>'Функц. 2025-2027'!J596</f>
        <v>0</v>
      </c>
      <c r="G131" s="520"/>
    </row>
    <row r="132" spans="1:7" s="519" customFormat="1" ht="31.5" x14ac:dyDescent="0.25">
      <c r="A132" s="451" t="s">
        <v>837</v>
      </c>
      <c r="B132" s="541" t="s">
        <v>838</v>
      </c>
      <c r="C132" s="454"/>
      <c r="D132" s="517">
        <f>D133</f>
        <v>6690.5</v>
      </c>
      <c r="E132" s="517">
        <f t="shared" ref="E132:F133" si="42">E133</f>
        <v>11903.6</v>
      </c>
      <c r="F132" s="517">
        <f t="shared" si="42"/>
        <v>0</v>
      </c>
      <c r="G132" s="520"/>
    </row>
    <row r="133" spans="1:7" s="519" customFormat="1" x14ac:dyDescent="0.25">
      <c r="A133" s="451" t="s">
        <v>120</v>
      </c>
      <c r="B133" s="541" t="s">
        <v>838</v>
      </c>
      <c r="C133" s="454">
        <v>200</v>
      </c>
      <c r="D133" s="517">
        <f>D134</f>
        <v>6690.5</v>
      </c>
      <c r="E133" s="517">
        <f t="shared" si="42"/>
        <v>11903.6</v>
      </c>
      <c r="F133" s="517">
        <f t="shared" si="42"/>
        <v>0</v>
      </c>
      <c r="G133" s="520"/>
    </row>
    <row r="134" spans="1:7" s="519" customFormat="1" x14ac:dyDescent="0.25">
      <c r="A134" s="451" t="s">
        <v>52</v>
      </c>
      <c r="B134" s="541" t="s">
        <v>838</v>
      </c>
      <c r="C134" s="454">
        <v>240</v>
      </c>
      <c r="D134" s="517">
        <f>'Функц. 2025-2027'!F634</f>
        <v>6690.5</v>
      </c>
      <c r="E134" s="517">
        <f>'Функц. 2025-2027'!H634</f>
        <v>11903.6</v>
      </c>
      <c r="F134" s="517">
        <f>'Функц. 2025-2027'!J634</f>
        <v>0</v>
      </c>
      <c r="G134" s="520"/>
    </row>
    <row r="135" spans="1:7" s="519" customFormat="1" x14ac:dyDescent="0.25">
      <c r="A135" s="451" t="s">
        <v>842</v>
      </c>
      <c r="B135" s="542" t="s">
        <v>844</v>
      </c>
      <c r="C135" s="454"/>
      <c r="D135" s="517">
        <f>D136</f>
        <v>4673.3</v>
      </c>
      <c r="E135" s="517">
        <f t="shared" ref="E135:F137" si="43">E136</f>
        <v>0</v>
      </c>
      <c r="F135" s="517">
        <f t="shared" si="43"/>
        <v>0</v>
      </c>
      <c r="G135" s="520"/>
    </row>
    <row r="136" spans="1:7" s="519" customFormat="1" x14ac:dyDescent="0.25">
      <c r="A136" s="451" t="s">
        <v>843</v>
      </c>
      <c r="B136" s="542" t="s">
        <v>845</v>
      </c>
      <c r="C136" s="454"/>
      <c r="D136" s="517">
        <f>D137</f>
        <v>4673.3</v>
      </c>
      <c r="E136" s="517">
        <f t="shared" si="43"/>
        <v>0</v>
      </c>
      <c r="F136" s="517">
        <f t="shared" si="43"/>
        <v>0</v>
      </c>
      <c r="G136" s="520"/>
    </row>
    <row r="137" spans="1:7" s="519" customFormat="1" ht="31.5" x14ac:dyDescent="0.25">
      <c r="A137" s="451" t="s">
        <v>60</v>
      </c>
      <c r="B137" s="542" t="s">
        <v>845</v>
      </c>
      <c r="C137" s="482">
        <v>600</v>
      </c>
      <c r="D137" s="517">
        <f>D138</f>
        <v>4673.3</v>
      </c>
      <c r="E137" s="517">
        <f t="shared" si="43"/>
        <v>0</v>
      </c>
      <c r="F137" s="517">
        <f t="shared" si="43"/>
        <v>0</v>
      </c>
      <c r="G137" s="520"/>
    </row>
    <row r="138" spans="1:7" s="519" customFormat="1" x14ac:dyDescent="0.25">
      <c r="A138" s="451" t="s">
        <v>61</v>
      </c>
      <c r="B138" s="542" t="s">
        <v>845</v>
      </c>
      <c r="C138" s="482">
        <v>610</v>
      </c>
      <c r="D138" s="517">
        <f>'Функц. 2025-2027'!F638</f>
        <v>4673.3</v>
      </c>
      <c r="E138" s="517">
        <f>'Функц. 2025-2027'!H638</f>
        <v>0</v>
      </c>
      <c r="F138" s="517">
        <f>'Функц. 2025-2027'!J638</f>
        <v>0</v>
      </c>
      <c r="G138" s="520"/>
    </row>
    <row r="139" spans="1:7" ht="47.25" x14ac:dyDescent="0.25">
      <c r="A139" s="271" t="s">
        <v>312</v>
      </c>
      <c r="B139" s="156" t="s">
        <v>473</v>
      </c>
      <c r="C139" s="407"/>
      <c r="D139" s="27">
        <f>D140+D143</f>
        <v>5237.8999999999996</v>
      </c>
      <c r="E139" s="27">
        <f>E140+E143</f>
        <v>5237.8999999999996</v>
      </c>
      <c r="F139" s="27">
        <f>F140+F143</f>
        <v>5237.8999999999996</v>
      </c>
      <c r="G139" s="152"/>
    </row>
    <row r="140" spans="1:7" ht="47.25" x14ac:dyDescent="0.25">
      <c r="A140" s="271" t="s">
        <v>432</v>
      </c>
      <c r="B140" s="156" t="s">
        <v>474</v>
      </c>
      <c r="C140" s="407"/>
      <c r="D140" s="27">
        <f t="shared" ref="D140:F141" si="44">D141</f>
        <v>1865.9</v>
      </c>
      <c r="E140" s="27">
        <f t="shared" si="44"/>
        <v>1865.9</v>
      </c>
      <c r="F140" s="27">
        <f t="shared" si="44"/>
        <v>1865.9</v>
      </c>
      <c r="G140" s="152"/>
    </row>
    <row r="141" spans="1:7" ht="31.5" x14ac:dyDescent="0.25">
      <c r="A141" s="273" t="s">
        <v>60</v>
      </c>
      <c r="B141" s="156" t="s">
        <v>474</v>
      </c>
      <c r="C141" s="407">
        <v>600</v>
      </c>
      <c r="D141" s="27">
        <f t="shared" si="44"/>
        <v>1865.9</v>
      </c>
      <c r="E141" s="27">
        <f t="shared" si="44"/>
        <v>1865.9</v>
      </c>
      <c r="F141" s="27">
        <f t="shared" si="44"/>
        <v>1865.9</v>
      </c>
      <c r="G141" s="152"/>
    </row>
    <row r="142" spans="1:7" x14ac:dyDescent="0.25">
      <c r="A142" s="273" t="s">
        <v>61</v>
      </c>
      <c r="B142" s="156" t="s">
        <v>474</v>
      </c>
      <c r="C142" s="407">
        <v>610</v>
      </c>
      <c r="D142" s="27">
        <f>'Функц. 2025-2027'!F642</f>
        <v>1865.9</v>
      </c>
      <c r="E142" s="27">
        <f>'Функц. 2025-2027'!H642</f>
        <v>1865.9</v>
      </c>
      <c r="F142" s="27">
        <f>'Функц. 2025-2027'!J642</f>
        <v>1865.9</v>
      </c>
      <c r="G142" s="152"/>
    </row>
    <row r="143" spans="1:7" s="177" customFormat="1" ht="63" x14ac:dyDescent="0.25">
      <c r="A143" s="523" t="s">
        <v>625</v>
      </c>
      <c r="B143" s="156" t="s">
        <v>623</v>
      </c>
      <c r="C143" s="430"/>
      <c r="D143" s="27">
        <f t="shared" ref="D143:F144" si="45">D144</f>
        <v>3372</v>
      </c>
      <c r="E143" s="27">
        <f t="shared" si="45"/>
        <v>3372</v>
      </c>
      <c r="F143" s="27">
        <f t="shared" si="45"/>
        <v>3372</v>
      </c>
      <c r="G143" s="152"/>
    </row>
    <row r="144" spans="1:7" s="177" customFormat="1" ht="31.5" x14ac:dyDescent="0.25">
      <c r="A144" s="523" t="s">
        <v>60</v>
      </c>
      <c r="B144" s="156" t="s">
        <v>623</v>
      </c>
      <c r="C144" s="407">
        <v>600</v>
      </c>
      <c r="D144" s="27">
        <f t="shared" si="45"/>
        <v>3372</v>
      </c>
      <c r="E144" s="27">
        <f t="shared" si="45"/>
        <v>3372</v>
      </c>
      <c r="F144" s="27">
        <f t="shared" si="45"/>
        <v>3372</v>
      </c>
      <c r="G144" s="152"/>
    </row>
    <row r="145" spans="1:30" s="177" customFormat="1" x14ac:dyDescent="0.25">
      <c r="A145" s="523" t="s">
        <v>61</v>
      </c>
      <c r="B145" s="156" t="s">
        <v>623</v>
      </c>
      <c r="C145" s="407">
        <v>610</v>
      </c>
      <c r="D145" s="27">
        <f>'Функц. 2025-2027'!F645</f>
        <v>3372</v>
      </c>
      <c r="E145" s="27">
        <f>'Функц. 2025-2027'!H645</f>
        <v>3372</v>
      </c>
      <c r="F145" s="27">
        <f>'Функц. 2025-2027'!J645</f>
        <v>3372</v>
      </c>
      <c r="G145" s="152"/>
    </row>
    <row r="146" spans="1:30" s="519" customFormat="1" x14ac:dyDescent="0.25">
      <c r="A146" s="523" t="s">
        <v>743</v>
      </c>
      <c r="B146" s="156" t="s">
        <v>744</v>
      </c>
      <c r="C146" s="407"/>
      <c r="D146" s="517">
        <f>D147</f>
        <v>2483.4</v>
      </c>
      <c r="E146" s="517">
        <f t="shared" ref="E146:F148" si="46">E147</f>
        <v>0</v>
      </c>
      <c r="F146" s="517">
        <f t="shared" si="46"/>
        <v>0</v>
      </c>
      <c r="G146" s="520"/>
    </row>
    <row r="147" spans="1:30" s="519" customFormat="1" ht="31.5" x14ac:dyDescent="0.25">
      <c r="A147" s="523" t="s">
        <v>745</v>
      </c>
      <c r="B147" s="156" t="s">
        <v>746</v>
      </c>
      <c r="C147" s="407"/>
      <c r="D147" s="517">
        <f>D148</f>
        <v>2483.4</v>
      </c>
      <c r="E147" s="517">
        <f t="shared" si="46"/>
        <v>0</v>
      </c>
      <c r="F147" s="517">
        <f t="shared" si="46"/>
        <v>0</v>
      </c>
      <c r="G147" s="520"/>
    </row>
    <row r="148" spans="1:30" s="519" customFormat="1" x14ac:dyDescent="0.25">
      <c r="A148" s="273" t="s">
        <v>120</v>
      </c>
      <c r="B148" s="156" t="s">
        <v>746</v>
      </c>
      <c r="C148" s="407">
        <v>200</v>
      </c>
      <c r="D148" s="517">
        <f>D149</f>
        <v>2483.4</v>
      </c>
      <c r="E148" s="517">
        <f t="shared" si="46"/>
        <v>0</v>
      </c>
      <c r="F148" s="517">
        <f t="shared" si="46"/>
        <v>0</v>
      </c>
      <c r="G148" s="520"/>
    </row>
    <row r="149" spans="1:30" s="519" customFormat="1" x14ac:dyDescent="0.25">
      <c r="A149" s="273" t="s">
        <v>52</v>
      </c>
      <c r="B149" s="156" t="s">
        <v>746</v>
      </c>
      <c r="C149" s="407">
        <v>240</v>
      </c>
      <c r="D149" s="517">
        <f>'Функц. 2025-2027'!F649</f>
        <v>2483.4</v>
      </c>
      <c r="E149" s="517">
        <f>'Функц. 2025-2027'!H649</f>
        <v>0</v>
      </c>
      <c r="F149" s="517">
        <f>'ведом. 2025-2027'!AF709</f>
        <v>0</v>
      </c>
      <c r="G149" s="520"/>
    </row>
    <row r="150" spans="1:30" s="519" customFormat="1" x14ac:dyDescent="0.25">
      <c r="A150" s="523" t="s">
        <v>658</v>
      </c>
      <c r="B150" s="156" t="s">
        <v>659</v>
      </c>
      <c r="C150" s="407"/>
      <c r="D150" s="517">
        <f>D157+D154+D151</f>
        <v>40116.5</v>
      </c>
      <c r="E150" s="517">
        <f t="shared" ref="E150:F150" si="47">E157+E154+E151</f>
        <v>40141.5</v>
      </c>
      <c r="F150" s="517">
        <f t="shared" si="47"/>
        <v>40172.5</v>
      </c>
      <c r="G150" s="517">
        <f t="shared" ref="G150:AD150" si="48">G157</f>
        <v>0</v>
      </c>
      <c r="H150" s="517">
        <f t="shared" si="48"/>
        <v>0</v>
      </c>
      <c r="I150" s="517">
        <f t="shared" si="48"/>
        <v>0</v>
      </c>
      <c r="J150" s="517">
        <f t="shared" si="48"/>
        <v>0</v>
      </c>
      <c r="K150" s="517">
        <f t="shared" si="48"/>
        <v>0</v>
      </c>
      <c r="L150" s="517">
        <f t="shared" si="48"/>
        <v>0</v>
      </c>
      <c r="M150" s="517">
        <f t="shared" si="48"/>
        <v>0</v>
      </c>
      <c r="N150" s="517">
        <f t="shared" si="48"/>
        <v>0</v>
      </c>
      <c r="O150" s="517">
        <f t="shared" si="48"/>
        <v>0</v>
      </c>
      <c r="P150" s="517">
        <f t="shared" si="48"/>
        <v>0</v>
      </c>
      <c r="Q150" s="517">
        <f t="shared" si="48"/>
        <v>0</v>
      </c>
      <c r="R150" s="517">
        <f t="shared" si="48"/>
        <v>0</v>
      </c>
      <c r="S150" s="517">
        <f t="shared" si="48"/>
        <v>0</v>
      </c>
      <c r="T150" s="517">
        <f t="shared" si="48"/>
        <v>0</v>
      </c>
      <c r="U150" s="517">
        <f t="shared" si="48"/>
        <v>0</v>
      </c>
      <c r="V150" s="517">
        <f t="shared" si="48"/>
        <v>0</v>
      </c>
      <c r="W150" s="517">
        <f t="shared" si="48"/>
        <v>0</v>
      </c>
      <c r="X150" s="517">
        <f t="shared" si="48"/>
        <v>0</v>
      </c>
      <c r="Y150" s="517">
        <f t="shared" si="48"/>
        <v>0</v>
      </c>
      <c r="Z150" s="517">
        <f t="shared" si="48"/>
        <v>0</v>
      </c>
      <c r="AA150" s="517">
        <f t="shared" si="48"/>
        <v>0</v>
      </c>
      <c r="AB150" s="517">
        <f t="shared" si="48"/>
        <v>0</v>
      </c>
      <c r="AC150" s="517">
        <f t="shared" si="48"/>
        <v>0</v>
      </c>
      <c r="AD150" s="517">
        <f t="shared" si="48"/>
        <v>0</v>
      </c>
    </row>
    <row r="151" spans="1:30" s="519" customFormat="1" ht="94.5" x14ac:dyDescent="0.25">
      <c r="A151" s="523" t="s">
        <v>747</v>
      </c>
      <c r="B151" s="156" t="s">
        <v>748</v>
      </c>
      <c r="C151" s="407"/>
      <c r="D151" s="517">
        <f>D152</f>
        <v>312.5</v>
      </c>
      <c r="E151" s="517">
        <f t="shared" ref="E151:F151" si="49">E152</f>
        <v>312.5</v>
      </c>
      <c r="F151" s="517">
        <f t="shared" si="49"/>
        <v>312.5</v>
      </c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</row>
    <row r="152" spans="1:30" s="519" customFormat="1" ht="31.5" x14ac:dyDescent="0.25">
      <c r="A152" s="523" t="s">
        <v>60</v>
      </c>
      <c r="B152" s="156" t="s">
        <v>748</v>
      </c>
      <c r="C152" s="407">
        <v>600</v>
      </c>
      <c r="D152" s="517">
        <f>D153</f>
        <v>312.5</v>
      </c>
      <c r="E152" s="517">
        <f t="shared" ref="E152:F152" si="50">E153</f>
        <v>312.5</v>
      </c>
      <c r="F152" s="517">
        <f t="shared" si="50"/>
        <v>312.5</v>
      </c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</row>
    <row r="153" spans="1:30" s="519" customFormat="1" x14ac:dyDescent="0.25">
      <c r="A153" s="523" t="s">
        <v>61</v>
      </c>
      <c r="B153" s="156" t="s">
        <v>748</v>
      </c>
      <c r="C153" s="407">
        <v>610</v>
      </c>
      <c r="D153" s="517">
        <f>'Функц. 2025-2027'!F653</f>
        <v>312.5</v>
      </c>
      <c r="E153" s="517">
        <f>'Функц. 2025-2027'!H653</f>
        <v>312.5</v>
      </c>
      <c r="F153" s="517">
        <f>'Функц. 2025-2027'!J653</f>
        <v>312.5</v>
      </c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</row>
    <row r="154" spans="1:30" s="519" customFormat="1" ht="47.25" x14ac:dyDescent="0.25">
      <c r="A154" s="523" t="s">
        <v>663</v>
      </c>
      <c r="B154" s="156" t="s">
        <v>664</v>
      </c>
      <c r="C154" s="407"/>
      <c r="D154" s="517">
        <f>D155</f>
        <v>1681</v>
      </c>
      <c r="E154" s="517">
        <f t="shared" ref="E154:F155" si="51">E155</f>
        <v>1706</v>
      </c>
      <c r="F154" s="517">
        <f t="shared" si="51"/>
        <v>1737</v>
      </c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</row>
    <row r="155" spans="1:30" s="519" customFormat="1" ht="31.5" x14ac:dyDescent="0.25">
      <c r="A155" s="451" t="s">
        <v>60</v>
      </c>
      <c r="B155" s="156" t="s">
        <v>664</v>
      </c>
      <c r="C155" s="407">
        <v>600</v>
      </c>
      <c r="D155" s="517">
        <f>D156</f>
        <v>1681</v>
      </c>
      <c r="E155" s="517">
        <f t="shared" si="51"/>
        <v>1706</v>
      </c>
      <c r="F155" s="517">
        <f t="shared" si="51"/>
        <v>1737</v>
      </c>
      <c r="G155" s="517">
        <f t="shared" ref="G155:AD155" si="52">G156</f>
        <v>0</v>
      </c>
      <c r="H155" s="517">
        <f t="shared" si="52"/>
        <v>0</v>
      </c>
      <c r="I155" s="517">
        <f t="shared" si="52"/>
        <v>0</v>
      </c>
      <c r="J155" s="517">
        <f t="shared" si="52"/>
        <v>0</v>
      </c>
      <c r="K155" s="517">
        <f t="shared" si="52"/>
        <v>0</v>
      </c>
      <c r="L155" s="517">
        <f t="shared" si="52"/>
        <v>0</v>
      </c>
      <c r="M155" s="517">
        <f t="shared" si="52"/>
        <v>0</v>
      </c>
      <c r="N155" s="517">
        <f t="shared" si="52"/>
        <v>0</v>
      </c>
      <c r="O155" s="517">
        <f t="shared" si="52"/>
        <v>0</v>
      </c>
      <c r="P155" s="517">
        <f t="shared" si="52"/>
        <v>0</v>
      </c>
      <c r="Q155" s="517">
        <f t="shared" si="52"/>
        <v>0</v>
      </c>
      <c r="R155" s="517">
        <f t="shared" si="52"/>
        <v>0</v>
      </c>
      <c r="S155" s="517">
        <f t="shared" si="52"/>
        <v>0</v>
      </c>
      <c r="T155" s="517">
        <f t="shared" si="52"/>
        <v>0</v>
      </c>
      <c r="U155" s="517">
        <f t="shared" si="52"/>
        <v>0</v>
      </c>
      <c r="V155" s="517">
        <f t="shared" si="52"/>
        <v>0</v>
      </c>
      <c r="W155" s="517">
        <f t="shared" si="52"/>
        <v>0</v>
      </c>
      <c r="X155" s="517">
        <f t="shared" si="52"/>
        <v>0</v>
      </c>
      <c r="Y155" s="517">
        <f t="shared" si="52"/>
        <v>0</v>
      </c>
      <c r="Z155" s="517">
        <f t="shared" si="52"/>
        <v>0</v>
      </c>
      <c r="AA155" s="517">
        <f t="shared" si="52"/>
        <v>0</v>
      </c>
      <c r="AB155" s="517">
        <f t="shared" si="52"/>
        <v>0</v>
      </c>
      <c r="AC155" s="517">
        <f t="shared" si="52"/>
        <v>0</v>
      </c>
      <c r="AD155" s="517">
        <f t="shared" si="52"/>
        <v>0</v>
      </c>
    </row>
    <row r="156" spans="1:30" s="519" customFormat="1" x14ac:dyDescent="0.25">
      <c r="A156" s="451" t="s">
        <v>61</v>
      </c>
      <c r="B156" s="156" t="s">
        <v>664</v>
      </c>
      <c r="C156" s="407">
        <v>610</v>
      </c>
      <c r="D156" s="517">
        <f>'Функц. 2025-2027'!F656</f>
        <v>1681</v>
      </c>
      <c r="E156" s="517">
        <f>'Функц. 2025-2027'!H656</f>
        <v>1706</v>
      </c>
      <c r="F156" s="517">
        <f>'Функц. 2025-2027'!J656</f>
        <v>1737</v>
      </c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</row>
    <row r="157" spans="1:30" s="519" customFormat="1" ht="63" x14ac:dyDescent="0.25">
      <c r="A157" s="523" t="s">
        <v>660</v>
      </c>
      <c r="B157" s="156" t="s">
        <v>661</v>
      </c>
      <c r="C157" s="407"/>
      <c r="D157" s="517">
        <f>D158</f>
        <v>38123</v>
      </c>
      <c r="E157" s="517">
        <f t="shared" ref="E157:F158" si="53">E158</f>
        <v>38123</v>
      </c>
      <c r="F157" s="517">
        <f t="shared" si="53"/>
        <v>38123</v>
      </c>
      <c r="G157" s="520"/>
    </row>
    <row r="158" spans="1:30" s="519" customFormat="1" ht="31.5" x14ac:dyDescent="0.25">
      <c r="A158" s="523" t="s">
        <v>60</v>
      </c>
      <c r="B158" s="156" t="s">
        <v>661</v>
      </c>
      <c r="C158" s="407">
        <v>600</v>
      </c>
      <c r="D158" s="517">
        <f>D159</f>
        <v>38123</v>
      </c>
      <c r="E158" s="517">
        <f t="shared" si="53"/>
        <v>38123</v>
      </c>
      <c r="F158" s="517">
        <f t="shared" si="53"/>
        <v>38123</v>
      </c>
      <c r="G158" s="520"/>
    </row>
    <row r="159" spans="1:30" s="519" customFormat="1" x14ac:dyDescent="0.25">
      <c r="A159" s="523" t="s">
        <v>61</v>
      </c>
      <c r="B159" s="156" t="s">
        <v>661</v>
      </c>
      <c r="C159" s="407">
        <v>610</v>
      </c>
      <c r="D159" s="517">
        <f>'Функц. 2025-2027'!F659</f>
        <v>38123</v>
      </c>
      <c r="E159" s="517">
        <f>'Функц. 2025-2027'!H659</f>
        <v>38123</v>
      </c>
      <c r="F159" s="517">
        <f>'Функц. 2025-2027'!J659</f>
        <v>38123</v>
      </c>
      <c r="G159" s="520"/>
    </row>
    <row r="160" spans="1:30" ht="31.5" x14ac:dyDescent="0.25">
      <c r="A160" s="523" t="s">
        <v>475</v>
      </c>
      <c r="B160" s="156" t="s">
        <v>101</v>
      </c>
      <c r="C160" s="596"/>
      <c r="D160" s="27">
        <f>D161+D166</f>
        <v>72779.399999999994</v>
      </c>
      <c r="E160" s="27">
        <f>E161+E166</f>
        <v>71056.2</v>
      </c>
      <c r="F160" s="27">
        <f>F161+F166</f>
        <v>73442.3</v>
      </c>
      <c r="G160" s="152"/>
    </row>
    <row r="161" spans="1:30" ht="31.5" x14ac:dyDescent="0.25">
      <c r="A161" s="271" t="s">
        <v>476</v>
      </c>
      <c r="B161" s="156" t="s">
        <v>477</v>
      </c>
      <c r="C161" s="596"/>
      <c r="D161" s="27">
        <f>D162</f>
        <v>38763.899999999994</v>
      </c>
      <c r="E161" s="517">
        <f t="shared" ref="E161:F162" si="54">E162</f>
        <v>38974.5</v>
      </c>
      <c r="F161" s="517">
        <f t="shared" si="54"/>
        <v>39288.600000000006</v>
      </c>
      <c r="G161" s="152"/>
    </row>
    <row r="162" spans="1:30" ht="31.5" x14ac:dyDescent="0.25">
      <c r="A162" s="271" t="s">
        <v>268</v>
      </c>
      <c r="B162" s="156" t="s">
        <v>478</v>
      </c>
      <c r="C162" s="597"/>
      <c r="D162" s="490">
        <f>D163</f>
        <v>38763.899999999994</v>
      </c>
      <c r="E162" s="517">
        <f t="shared" si="54"/>
        <v>38974.5</v>
      </c>
      <c r="F162" s="517">
        <f t="shared" si="54"/>
        <v>39288.600000000006</v>
      </c>
      <c r="G162" s="152"/>
    </row>
    <row r="163" spans="1:30" s="177" customFormat="1" ht="31.5" x14ac:dyDescent="0.25">
      <c r="A163" s="273" t="s">
        <v>331</v>
      </c>
      <c r="B163" s="156" t="s">
        <v>479</v>
      </c>
      <c r="C163" s="598"/>
      <c r="D163" s="27">
        <f>D165</f>
        <v>38763.899999999994</v>
      </c>
      <c r="E163" s="27">
        <f>E165</f>
        <v>38974.5</v>
      </c>
      <c r="F163" s="27">
        <f>F165</f>
        <v>39288.600000000006</v>
      </c>
      <c r="G163" s="152"/>
    </row>
    <row r="164" spans="1:30" s="177" customFormat="1" ht="31.5" x14ac:dyDescent="0.25">
      <c r="A164" s="273" t="s">
        <v>60</v>
      </c>
      <c r="B164" s="156" t="s">
        <v>479</v>
      </c>
      <c r="C164" s="444">
        <v>600</v>
      </c>
      <c r="D164" s="27">
        <f>D165</f>
        <v>38763.899999999994</v>
      </c>
      <c r="E164" s="27">
        <f>E165</f>
        <v>38974.5</v>
      </c>
      <c r="F164" s="27">
        <f>F165</f>
        <v>39288.600000000006</v>
      </c>
      <c r="G164" s="152"/>
    </row>
    <row r="165" spans="1:30" s="177" customFormat="1" x14ac:dyDescent="0.25">
      <c r="A165" s="273" t="s">
        <v>61</v>
      </c>
      <c r="B165" s="156" t="s">
        <v>479</v>
      </c>
      <c r="C165" s="444">
        <v>610</v>
      </c>
      <c r="D165" s="27">
        <f>'ведом. 2025-2027'!AD732</f>
        <v>38763.899999999994</v>
      </c>
      <c r="E165" s="27">
        <f>'Функц. 2025-2027'!H686</f>
        <v>38974.5</v>
      </c>
      <c r="F165" s="27">
        <f>'Функц. 2025-2027'!J686</f>
        <v>39288.600000000006</v>
      </c>
      <c r="G165" s="152"/>
    </row>
    <row r="166" spans="1:30" s="165" customFormat="1" ht="31.5" x14ac:dyDescent="0.25">
      <c r="A166" s="271" t="s">
        <v>480</v>
      </c>
      <c r="B166" s="156" t="s">
        <v>481</v>
      </c>
      <c r="C166" s="444"/>
      <c r="D166" s="27">
        <f>D167</f>
        <v>34015.5</v>
      </c>
      <c r="E166" s="27">
        <f>E167</f>
        <v>32081.7</v>
      </c>
      <c r="F166" s="27">
        <f>F167</f>
        <v>34153.699999999997</v>
      </c>
      <c r="G166" s="152"/>
    </row>
    <row r="167" spans="1:30" s="165" customFormat="1" ht="31.5" x14ac:dyDescent="0.25">
      <c r="A167" s="274" t="s">
        <v>156</v>
      </c>
      <c r="B167" s="156" t="s">
        <v>482</v>
      </c>
      <c r="C167" s="444"/>
      <c r="D167" s="27">
        <f>D168</f>
        <v>34015.5</v>
      </c>
      <c r="E167" s="517">
        <f t="shared" ref="E167:F167" si="55">E168</f>
        <v>32081.7</v>
      </c>
      <c r="F167" s="517">
        <f t="shared" si="55"/>
        <v>34153.699999999997</v>
      </c>
      <c r="G167" s="152"/>
    </row>
    <row r="168" spans="1:30" s="165" customFormat="1" ht="31.5" x14ac:dyDescent="0.25">
      <c r="A168" s="273" t="s">
        <v>60</v>
      </c>
      <c r="B168" s="156" t="s">
        <v>482</v>
      </c>
      <c r="C168" s="444">
        <v>600</v>
      </c>
      <c r="D168" s="27">
        <f>D169+D170+D171</f>
        <v>34015.5</v>
      </c>
      <c r="E168" s="27">
        <f>E169+E170+E171</f>
        <v>32081.7</v>
      </c>
      <c r="F168" s="27">
        <f>F169+F170+F171</f>
        <v>34153.699999999997</v>
      </c>
      <c r="G168" s="152"/>
    </row>
    <row r="169" spans="1:30" s="165" customFormat="1" x14ac:dyDescent="0.25">
      <c r="A169" s="273" t="s">
        <v>61</v>
      </c>
      <c r="B169" s="156" t="s">
        <v>482</v>
      </c>
      <c r="C169" s="444">
        <v>610</v>
      </c>
      <c r="D169" s="27">
        <f>'Функц. 2025-2027'!F690</f>
        <v>30689.8</v>
      </c>
      <c r="E169" s="27">
        <f>'Функц. 2025-2027'!H690</f>
        <v>28747.1</v>
      </c>
      <c r="F169" s="27">
        <f>'Функц. 2025-2027'!J690</f>
        <v>30816.199999999997</v>
      </c>
      <c r="G169" s="152"/>
    </row>
    <row r="170" spans="1:30" s="199" customFormat="1" x14ac:dyDescent="0.25">
      <c r="A170" s="523" t="s">
        <v>130</v>
      </c>
      <c r="B170" s="156" t="s">
        <v>482</v>
      </c>
      <c r="C170" s="444">
        <v>620</v>
      </c>
      <c r="D170" s="27">
        <f>'Функц. 2025-2027'!F691</f>
        <v>2697</v>
      </c>
      <c r="E170" s="27">
        <f>'Функц. 2025-2027'!H691</f>
        <v>2705.8999999999996</v>
      </c>
      <c r="F170" s="27">
        <f>'Функц. 2025-2027'!J691</f>
        <v>2708.8</v>
      </c>
      <c r="G170" s="152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  <c r="W170" s="438"/>
      <c r="X170" s="438"/>
      <c r="Y170" s="438"/>
      <c r="Z170" s="438"/>
      <c r="AA170" s="438"/>
      <c r="AB170" s="438"/>
      <c r="AC170" s="438"/>
      <c r="AD170" s="438"/>
    </row>
    <row r="171" spans="1:30" s="199" customFormat="1" ht="31.5" x14ac:dyDescent="0.25">
      <c r="A171" s="523" t="s">
        <v>364</v>
      </c>
      <c r="B171" s="156" t="s">
        <v>482</v>
      </c>
      <c r="C171" s="444">
        <v>630</v>
      </c>
      <c r="D171" s="27">
        <f>'Функц. 2025-2027'!F692</f>
        <v>628.70000000000005</v>
      </c>
      <c r="E171" s="27">
        <f>'Функц. 2025-2027'!H692</f>
        <v>628.70000000000005</v>
      </c>
      <c r="F171" s="27">
        <f>'Функц. 2025-2027'!J692</f>
        <v>628.70000000000005</v>
      </c>
      <c r="G171" s="152"/>
      <c r="H171" s="438"/>
      <c r="I171" s="438"/>
      <c r="J171" s="438"/>
      <c r="K171" s="438"/>
      <c r="L171" s="438"/>
      <c r="M171" s="438"/>
      <c r="N171" s="438"/>
      <c r="O171" s="438"/>
      <c r="P171" s="438"/>
      <c r="Q171" s="438"/>
      <c r="R171" s="438"/>
      <c r="S171" s="438"/>
      <c r="T171" s="438"/>
      <c r="U171" s="438"/>
      <c r="V171" s="438"/>
      <c r="W171" s="438"/>
      <c r="X171" s="438"/>
      <c r="Y171" s="438"/>
      <c r="Z171" s="438"/>
      <c r="AA171" s="438"/>
      <c r="AB171" s="438"/>
      <c r="AC171" s="438"/>
      <c r="AD171" s="438"/>
    </row>
    <row r="172" spans="1:30" x14ac:dyDescent="0.25">
      <c r="A172" s="255" t="s">
        <v>48</v>
      </c>
      <c r="B172" s="156" t="s">
        <v>483</v>
      </c>
      <c r="C172" s="444"/>
      <c r="D172" s="27">
        <f>D173</f>
        <v>26653.100000000002</v>
      </c>
      <c r="E172" s="27">
        <f>E173</f>
        <v>25755.100000000002</v>
      </c>
      <c r="F172" s="27">
        <f>F173</f>
        <v>25755.100000000002</v>
      </c>
      <c r="G172" s="152"/>
    </row>
    <row r="173" spans="1:30" ht="31.5" x14ac:dyDescent="0.25">
      <c r="A173" s="271" t="s">
        <v>269</v>
      </c>
      <c r="B173" s="156" t="s">
        <v>484</v>
      </c>
      <c r="C173" s="444"/>
      <c r="D173" s="27">
        <f>D174+D184</f>
        <v>26653.100000000002</v>
      </c>
      <c r="E173" s="27">
        <f>E174+E184</f>
        <v>25755.100000000002</v>
      </c>
      <c r="F173" s="27">
        <f>F174+F184</f>
        <v>25755.100000000002</v>
      </c>
      <c r="G173" s="152"/>
    </row>
    <row r="174" spans="1:30" x14ac:dyDescent="0.25">
      <c r="A174" s="274" t="s">
        <v>205</v>
      </c>
      <c r="B174" s="156" t="s">
        <v>485</v>
      </c>
      <c r="C174" s="444"/>
      <c r="D174" s="27">
        <f>D175+D178+D181</f>
        <v>26465.200000000001</v>
      </c>
      <c r="E174" s="27">
        <f>E175+E178+E181</f>
        <v>25567.200000000001</v>
      </c>
      <c r="F174" s="27">
        <f>F175+F178+F181</f>
        <v>25567.200000000001</v>
      </c>
      <c r="G174" s="152"/>
    </row>
    <row r="175" spans="1:30" ht="31.5" x14ac:dyDescent="0.25">
      <c r="A175" s="273" t="s">
        <v>206</v>
      </c>
      <c r="B175" s="156" t="s">
        <v>486</v>
      </c>
      <c r="C175" s="444"/>
      <c r="D175" s="27">
        <f>D176</f>
        <v>1485.2</v>
      </c>
      <c r="E175" s="517">
        <f t="shared" ref="E175:F175" si="56">E176</f>
        <v>1485.2</v>
      </c>
      <c r="F175" s="517">
        <f t="shared" si="56"/>
        <v>1485.2</v>
      </c>
      <c r="G175" s="152"/>
    </row>
    <row r="176" spans="1:30" x14ac:dyDescent="0.25">
      <c r="A176" s="273" t="s">
        <v>120</v>
      </c>
      <c r="B176" s="156" t="s">
        <v>486</v>
      </c>
      <c r="C176" s="444">
        <v>200</v>
      </c>
      <c r="D176" s="27">
        <f>D177</f>
        <v>1485.2</v>
      </c>
      <c r="E176" s="27">
        <f>E177</f>
        <v>1485.2</v>
      </c>
      <c r="F176" s="27">
        <f>F177</f>
        <v>1485.2</v>
      </c>
      <c r="G176" s="152"/>
    </row>
    <row r="177" spans="1:7" x14ac:dyDescent="0.25">
      <c r="A177" s="273" t="s">
        <v>52</v>
      </c>
      <c r="B177" s="156" t="s">
        <v>486</v>
      </c>
      <c r="C177" s="444">
        <v>240</v>
      </c>
      <c r="D177" s="27">
        <f>'Функц. 2025-2027'!F724</f>
        <v>1485.2</v>
      </c>
      <c r="E177" s="27">
        <f>'Функц. 2025-2027'!H724</f>
        <v>1485.2</v>
      </c>
      <c r="F177" s="27">
        <f>'Функц. 2025-2027'!J724</f>
        <v>1485.2</v>
      </c>
      <c r="G177" s="152"/>
    </row>
    <row r="178" spans="1:7" ht="31.5" x14ac:dyDescent="0.25">
      <c r="A178" s="273" t="s">
        <v>350</v>
      </c>
      <c r="B178" s="156" t="s">
        <v>487</v>
      </c>
      <c r="C178" s="444"/>
      <c r="D178" s="27">
        <f t="shared" ref="D178:F179" si="57">D179</f>
        <v>11514.6</v>
      </c>
      <c r="E178" s="27">
        <f t="shared" si="57"/>
        <v>10616.6</v>
      </c>
      <c r="F178" s="27">
        <f t="shared" si="57"/>
        <v>10616.6</v>
      </c>
      <c r="G178" s="152"/>
    </row>
    <row r="179" spans="1:7" ht="47.25" x14ac:dyDescent="0.25">
      <c r="A179" s="273" t="s">
        <v>41</v>
      </c>
      <c r="B179" s="156" t="s">
        <v>487</v>
      </c>
      <c r="C179" s="444">
        <v>100</v>
      </c>
      <c r="D179" s="27">
        <f t="shared" si="57"/>
        <v>11514.6</v>
      </c>
      <c r="E179" s="27">
        <f t="shared" si="57"/>
        <v>10616.6</v>
      </c>
      <c r="F179" s="27">
        <f t="shared" si="57"/>
        <v>10616.6</v>
      </c>
      <c r="G179" s="152"/>
    </row>
    <row r="180" spans="1:7" x14ac:dyDescent="0.25">
      <c r="A180" s="273" t="s">
        <v>96</v>
      </c>
      <c r="B180" s="156" t="s">
        <v>487</v>
      </c>
      <c r="C180" s="444">
        <v>120</v>
      </c>
      <c r="D180" s="27">
        <f>'Функц. 2025-2027'!F727</f>
        <v>11514.6</v>
      </c>
      <c r="E180" s="27">
        <f>'Функц. 2025-2027'!H727</f>
        <v>10616.6</v>
      </c>
      <c r="F180" s="27">
        <f>'Функц. 2025-2027'!J727</f>
        <v>10616.6</v>
      </c>
      <c r="G180" s="152"/>
    </row>
    <row r="181" spans="1:7" ht="31.5" x14ac:dyDescent="0.25">
      <c r="A181" s="273" t="s">
        <v>270</v>
      </c>
      <c r="B181" s="156" t="s">
        <v>488</v>
      </c>
      <c r="C181" s="444"/>
      <c r="D181" s="27">
        <f t="shared" ref="D181:F182" si="58">D182</f>
        <v>13465.4</v>
      </c>
      <c r="E181" s="27">
        <f t="shared" si="58"/>
        <v>13465.4</v>
      </c>
      <c r="F181" s="27">
        <f t="shared" si="58"/>
        <v>13465.4</v>
      </c>
      <c r="G181" s="152"/>
    </row>
    <row r="182" spans="1:7" ht="47.25" x14ac:dyDescent="0.25">
      <c r="A182" s="273" t="s">
        <v>41</v>
      </c>
      <c r="B182" s="156" t="s">
        <v>488</v>
      </c>
      <c r="C182" s="444">
        <v>100</v>
      </c>
      <c r="D182" s="27">
        <f t="shared" si="58"/>
        <v>13465.4</v>
      </c>
      <c r="E182" s="27">
        <f t="shared" si="58"/>
        <v>13465.4</v>
      </c>
      <c r="F182" s="27">
        <f t="shared" si="58"/>
        <v>13465.4</v>
      </c>
      <c r="G182" s="152"/>
    </row>
    <row r="183" spans="1:7" x14ac:dyDescent="0.25">
      <c r="A183" s="273" t="s">
        <v>96</v>
      </c>
      <c r="B183" s="156" t="s">
        <v>488</v>
      </c>
      <c r="C183" s="444">
        <v>120</v>
      </c>
      <c r="D183" s="27">
        <f>'Функц. 2025-2027'!F730</f>
        <v>13465.4</v>
      </c>
      <c r="E183" s="27">
        <f>'Функц. 2025-2027'!H730</f>
        <v>13465.4</v>
      </c>
      <c r="F183" s="27">
        <f>'Функц. 2025-2027'!J730</f>
        <v>13465.4</v>
      </c>
      <c r="G183" s="152"/>
    </row>
    <row r="184" spans="1:7" x14ac:dyDescent="0.25">
      <c r="A184" s="273" t="s">
        <v>271</v>
      </c>
      <c r="B184" s="156" t="s">
        <v>489</v>
      </c>
      <c r="C184" s="444"/>
      <c r="D184" s="27">
        <f t="shared" ref="D184:F185" si="59">D185</f>
        <v>187.9</v>
      </c>
      <c r="E184" s="27">
        <f t="shared" si="59"/>
        <v>187.9</v>
      </c>
      <c r="F184" s="27">
        <f t="shared" si="59"/>
        <v>187.9</v>
      </c>
      <c r="G184" s="152"/>
    </row>
    <row r="185" spans="1:7" x14ac:dyDescent="0.25">
      <c r="A185" s="273" t="s">
        <v>120</v>
      </c>
      <c r="B185" s="156" t="s">
        <v>489</v>
      </c>
      <c r="C185" s="444">
        <v>200</v>
      </c>
      <c r="D185" s="27">
        <f t="shared" si="59"/>
        <v>187.9</v>
      </c>
      <c r="E185" s="27">
        <f t="shared" si="59"/>
        <v>187.9</v>
      </c>
      <c r="F185" s="27">
        <f t="shared" si="59"/>
        <v>187.9</v>
      </c>
      <c r="G185" s="152"/>
    </row>
    <row r="186" spans="1:7" x14ac:dyDescent="0.25">
      <c r="A186" s="273" t="s">
        <v>52</v>
      </c>
      <c r="B186" s="156" t="s">
        <v>489</v>
      </c>
      <c r="C186" s="444">
        <v>240</v>
      </c>
      <c r="D186" s="27">
        <f>'Функц. 2025-2027'!F733</f>
        <v>187.9</v>
      </c>
      <c r="E186" s="27">
        <f>'Функц. 2025-2027'!H733</f>
        <v>187.9</v>
      </c>
      <c r="F186" s="27">
        <f>'Функц. 2025-2027'!J733</f>
        <v>187.9</v>
      </c>
      <c r="G186" s="152"/>
    </row>
    <row r="187" spans="1:7" s="134" customFormat="1" x14ac:dyDescent="0.25">
      <c r="A187" s="395" t="s">
        <v>292</v>
      </c>
      <c r="B187" s="617" t="s">
        <v>109</v>
      </c>
      <c r="C187" s="599"/>
      <c r="D187" s="30">
        <f>D188+D193+D213+D206+D221</f>
        <v>21361</v>
      </c>
      <c r="E187" s="30">
        <f>E188+E193+E213+E206+E221</f>
        <v>21607</v>
      </c>
      <c r="F187" s="30">
        <f>F188+F193+F213+F206+F221</f>
        <v>21694</v>
      </c>
      <c r="G187" s="152"/>
    </row>
    <row r="188" spans="1:7" s="134" customFormat="1" x14ac:dyDescent="0.25">
      <c r="A188" s="275" t="s">
        <v>293</v>
      </c>
      <c r="B188" s="578" t="s">
        <v>118</v>
      </c>
      <c r="C188" s="600"/>
      <c r="D188" s="27">
        <f>D189</f>
        <v>9007</v>
      </c>
      <c r="E188" s="27">
        <f>E189</f>
        <v>9007</v>
      </c>
      <c r="F188" s="27">
        <f>F189</f>
        <v>9007</v>
      </c>
      <c r="G188" s="152"/>
    </row>
    <row r="189" spans="1:7" s="134" customFormat="1" ht="31.5" x14ac:dyDescent="0.25">
      <c r="A189" s="275" t="s">
        <v>466</v>
      </c>
      <c r="B189" s="156" t="s">
        <v>465</v>
      </c>
      <c r="C189" s="601"/>
      <c r="D189" s="27">
        <f t="shared" ref="D189:F190" si="60">D190</f>
        <v>9007</v>
      </c>
      <c r="E189" s="27">
        <f t="shared" si="60"/>
        <v>9007</v>
      </c>
      <c r="F189" s="27">
        <f t="shared" si="60"/>
        <v>9007</v>
      </c>
      <c r="G189" s="152"/>
    </row>
    <row r="190" spans="1:7" s="134" customFormat="1" ht="31.5" x14ac:dyDescent="0.25">
      <c r="A190" s="277" t="s">
        <v>295</v>
      </c>
      <c r="B190" s="156" t="s">
        <v>464</v>
      </c>
      <c r="C190" s="601"/>
      <c r="D190" s="27">
        <f t="shared" si="60"/>
        <v>9007</v>
      </c>
      <c r="E190" s="27">
        <f t="shared" si="60"/>
        <v>9007</v>
      </c>
      <c r="F190" s="27">
        <f t="shared" si="60"/>
        <v>9007</v>
      </c>
      <c r="G190" s="152"/>
    </row>
    <row r="191" spans="1:7" s="134" customFormat="1" x14ac:dyDescent="0.25">
      <c r="A191" s="273" t="s">
        <v>97</v>
      </c>
      <c r="B191" s="156" t="s">
        <v>464</v>
      </c>
      <c r="C191" s="444">
        <v>300</v>
      </c>
      <c r="D191" s="27">
        <f>D192</f>
        <v>9007</v>
      </c>
      <c r="E191" s="27">
        <f>E192</f>
        <v>9007</v>
      </c>
      <c r="F191" s="27">
        <f>F192</f>
        <v>9007</v>
      </c>
      <c r="G191" s="152"/>
    </row>
    <row r="192" spans="1:7" s="134" customFormat="1" x14ac:dyDescent="0.25">
      <c r="A192" s="273" t="s">
        <v>40</v>
      </c>
      <c r="B192" s="156" t="s">
        <v>464</v>
      </c>
      <c r="C192" s="444">
        <v>320</v>
      </c>
      <c r="D192" s="27">
        <f>'Функц. 2025-2027'!F825</f>
        <v>9007</v>
      </c>
      <c r="E192" s="27">
        <f>'Функц. 2025-2027'!H825</f>
        <v>9007</v>
      </c>
      <c r="F192" s="27">
        <f>'Функц. 2025-2027'!J825</f>
        <v>9007</v>
      </c>
      <c r="G192" s="152"/>
    </row>
    <row r="193" spans="1:7" x14ac:dyDescent="0.25">
      <c r="A193" s="275" t="s">
        <v>296</v>
      </c>
      <c r="B193" s="156" t="s">
        <v>110</v>
      </c>
      <c r="C193" s="444"/>
      <c r="D193" s="27">
        <f t="shared" ref="D193:F194" si="61">D194</f>
        <v>6966</v>
      </c>
      <c r="E193" s="27">
        <f t="shared" si="61"/>
        <v>7254</v>
      </c>
      <c r="F193" s="27">
        <f t="shared" si="61"/>
        <v>7311</v>
      </c>
      <c r="G193" s="152"/>
    </row>
    <row r="194" spans="1:7" x14ac:dyDescent="0.25">
      <c r="A194" s="276" t="s">
        <v>504</v>
      </c>
      <c r="B194" s="156" t="s">
        <v>503</v>
      </c>
      <c r="C194" s="444"/>
      <c r="D194" s="27">
        <f>D195</f>
        <v>6966</v>
      </c>
      <c r="E194" s="27">
        <f t="shared" si="61"/>
        <v>7254</v>
      </c>
      <c r="F194" s="27">
        <f t="shared" si="61"/>
        <v>7311</v>
      </c>
      <c r="G194" s="152"/>
    </row>
    <row r="195" spans="1:7" x14ac:dyDescent="0.25">
      <c r="A195" s="276" t="s">
        <v>297</v>
      </c>
      <c r="B195" s="156" t="s">
        <v>505</v>
      </c>
      <c r="C195" s="444"/>
      <c r="D195" s="27">
        <f>D196+D203</f>
        <v>6966</v>
      </c>
      <c r="E195" s="27">
        <f>E196+E203</f>
        <v>7254</v>
      </c>
      <c r="F195" s="27">
        <f>F196+F203</f>
        <v>7311</v>
      </c>
      <c r="G195" s="152"/>
    </row>
    <row r="196" spans="1:7" ht="47.25" x14ac:dyDescent="0.25">
      <c r="A196" s="276" t="s">
        <v>317</v>
      </c>
      <c r="B196" s="156" t="s">
        <v>506</v>
      </c>
      <c r="C196" s="444"/>
      <c r="D196" s="27">
        <f>D199+D197+D201</f>
        <v>5016</v>
      </c>
      <c r="E196" s="27">
        <f>E199+E197+E201</f>
        <v>5184</v>
      </c>
      <c r="F196" s="27">
        <f>F199+F197+F201</f>
        <v>5231</v>
      </c>
      <c r="G196" s="152"/>
    </row>
    <row r="197" spans="1:7" s="177" customFormat="1" x14ac:dyDescent="0.25">
      <c r="A197" s="273" t="s">
        <v>120</v>
      </c>
      <c r="B197" s="156" t="s">
        <v>506</v>
      </c>
      <c r="C197" s="444">
        <v>200</v>
      </c>
      <c r="D197" s="27">
        <f>D198</f>
        <v>2695.8</v>
      </c>
      <c r="E197" s="27">
        <f>E198</f>
        <v>2820</v>
      </c>
      <c r="F197" s="27">
        <f>F198</f>
        <v>2840</v>
      </c>
      <c r="G197" s="152"/>
    </row>
    <row r="198" spans="1:7" s="177" customFormat="1" x14ac:dyDescent="0.25">
      <c r="A198" s="273" t="s">
        <v>52</v>
      </c>
      <c r="B198" s="156" t="s">
        <v>506</v>
      </c>
      <c r="C198" s="444">
        <v>240</v>
      </c>
      <c r="D198" s="27">
        <f>'Функц. 2025-2027'!F740</f>
        <v>2695.8</v>
      </c>
      <c r="E198" s="27">
        <f>'Функц. 2025-2027'!H740</f>
        <v>2820</v>
      </c>
      <c r="F198" s="27">
        <f>'Функц. 2025-2027'!J740</f>
        <v>2840</v>
      </c>
      <c r="G198" s="152"/>
    </row>
    <row r="199" spans="1:7" x14ac:dyDescent="0.25">
      <c r="A199" s="273" t="s">
        <v>97</v>
      </c>
      <c r="B199" s="156" t="s">
        <v>506</v>
      </c>
      <c r="C199" s="444">
        <v>300</v>
      </c>
      <c r="D199" s="27">
        <f>D200</f>
        <v>260</v>
      </c>
      <c r="E199" s="27">
        <f>E200</f>
        <v>220</v>
      </c>
      <c r="F199" s="27">
        <f>F200</f>
        <v>220</v>
      </c>
      <c r="G199" s="152"/>
    </row>
    <row r="200" spans="1:7" x14ac:dyDescent="0.25">
      <c r="A200" s="273" t="s">
        <v>40</v>
      </c>
      <c r="B200" s="156" t="s">
        <v>506</v>
      </c>
      <c r="C200" s="444">
        <v>320</v>
      </c>
      <c r="D200" s="27">
        <f>'Функц. 2025-2027'!F742</f>
        <v>260</v>
      </c>
      <c r="E200" s="27">
        <f>'Функц. 2025-2027'!H742</f>
        <v>220</v>
      </c>
      <c r="F200" s="27">
        <f>'Функц. 2025-2027'!J742</f>
        <v>220</v>
      </c>
      <c r="G200" s="152"/>
    </row>
    <row r="201" spans="1:7" s="177" customFormat="1" ht="31.5" x14ac:dyDescent="0.25">
      <c r="A201" s="273" t="s">
        <v>60</v>
      </c>
      <c r="B201" s="156" t="s">
        <v>506</v>
      </c>
      <c r="C201" s="444">
        <v>600</v>
      </c>
      <c r="D201" s="27">
        <f>D202</f>
        <v>2060.1999999999998</v>
      </c>
      <c r="E201" s="27">
        <f>E202</f>
        <v>2144</v>
      </c>
      <c r="F201" s="27">
        <f>F202</f>
        <v>2171</v>
      </c>
      <c r="G201" s="152"/>
    </row>
    <row r="202" spans="1:7" s="177" customFormat="1" x14ac:dyDescent="0.25">
      <c r="A202" s="273" t="s">
        <v>61</v>
      </c>
      <c r="B202" s="156" t="s">
        <v>506</v>
      </c>
      <c r="C202" s="444">
        <v>610</v>
      </c>
      <c r="D202" s="27">
        <f>'Функц. 2025-2027'!F744</f>
        <v>2060.1999999999998</v>
      </c>
      <c r="E202" s="27">
        <f>'Функц. 2025-2027'!H744</f>
        <v>2144</v>
      </c>
      <c r="F202" s="27">
        <f>'Функц. 2025-2027'!J744</f>
        <v>2171</v>
      </c>
      <c r="G202" s="152"/>
    </row>
    <row r="203" spans="1:7" ht="31.5" x14ac:dyDescent="0.25">
      <c r="A203" s="273" t="s">
        <v>517</v>
      </c>
      <c r="B203" s="156" t="s">
        <v>507</v>
      </c>
      <c r="C203" s="444"/>
      <c r="D203" s="27">
        <f t="shared" ref="D203:F204" si="62">D204</f>
        <v>1950</v>
      </c>
      <c r="E203" s="27">
        <f t="shared" si="62"/>
        <v>2070</v>
      </c>
      <c r="F203" s="27">
        <f t="shared" si="62"/>
        <v>2080</v>
      </c>
      <c r="G203" s="152"/>
    </row>
    <row r="204" spans="1:7" ht="31.5" x14ac:dyDescent="0.25">
      <c r="A204" s="273" t="s">
        <v>60</v>
      </c>
      <c r="B204" s="156" t="s">
        <v>507</v>
      </c>
      <c r="C204" s="407">
        <v>600</v>
      </c>
      <c r="D204" s="27">
        <f t="shared" si="62"/>
        <v>1950</v>
      </c>
      <c r="E204" s="27">
        <f t="shared" si="62"/>
        <v>2070</v>
      </c>
      <c r="F204" s="27">
        <f t="shared" si="62"/>
        <v>2080</v>
      </c>
      <c r="G204" s="152"/>
    </row>
    <row r="205" spans="1:7" x14ac:dyDescent="0.25">
      <c r="A205" s="273" t="s">
        <v>61</v>
      </c>
      <c r="B205" s="156" t="s">
        <v>507</v>
      </c>
      <c r="C205" s="407">
        <v>610</v>
      </c>
      <c r="D205" s="27">
        <f>'Функц. 2025-2027'!F747</f>
        <v>1950</v>
      </c>
      <c r="E205" s="27">
        <f>'Функц. 2025-2027'!H747</f>
        <v>2070</v>
      </c>
      <c r="F205" s="27">
        <f>'Функц. 2025-2027'!J747</f>
        <v>2080</v>
      </c>
      <c r="G205" s="152"/>
    </row>
    <row r="206" spans="1:7" s="134" customFormat="1" x14ac:dyDescent="0.25">
      <c r="A206" s="255" t="s">
        <v>48</v>
      </c>
      <c r="B206" s="26" t="s">
        <v>401</v>
      </c>
      <c r="C206" s="444"/>
      <c r="D206" s="27">
        <f t="shared" ref="D206:F207" si="63">D207</f>
        <v>5178</v>
      </c>
      <c r="E206" s="27">
        <f t="shared" si="63"/>
        <v>5206</v>
      </c>
      <c r="F206" s="27">
        <f t="shared" si="63"/>
        <v>5236</v>
      </c>
      <c r="G206" s="152"/>
    </row>
    <row r="207" spans="1:7" s="134" customFormat="1" ht="47.25" x14ac:dyDescent="0.25">
      <c r="A207" s="255" t="s">
        <v>519</v>
      </c>
      <c r="B207" s="26" t="s">
        <v>518</v>
      </c>
      <c r="C207" s="444"/>
      <c r="D207" s="27">
        <f t="shared" si="63"/>
        <v>5178</v>
      </c>
      <c r="E207" s="27">
        <f t="shared" si="63"/>
        <v>5206</v>
      </c>
      <c r="F207" s="27">
        <f t="shared" si="63"/>
        <v>5236</v>
      </c>
      <c r="G207" s="152"/>
    </row>
    <row r="208" spans="1:7" s="134" customFormat="1" ht="47.25" x14ac:dyDescent="0.25">
      <c r="A208" s="375" t="s">
        <v>358</v>
      </c>
      <c r="B208" s="26" t="s">
        <v>520</v>
      </c>
      <c r="C208" s="444"/>
      <c r="D208" s="27">
        <f>D209+D211</f>
        <v>5178</v>
      </c>
      <c r="E208" s="27">
        <f>E209+E211</f>
        <v>5206</v>
      </c>
      <c r="F208" s="27">
        <f>F209+F211</f>
        <v>5236</v>
      </c>
      <c r="G208" s="152"/>
    </row>
    <row r="209" spans="1:7" s="134" customFormat="1" ht="47.25" x14ac:dyDescent="0.25">
      <c r="A209" s="375" t="s">
        <v>41</v>
      </c>
      <c r="B209" s="26" t="s">
        <v>520</v>
      </c>
      <c r="C209" s="407">
        <v>100</v>
      </c>
      <c r="D209" s="27">
        <f>D210</f>
        <v>4651.3999999999996</v>
      </c>
      <c r="E209" s="27">
        <f>'Функц. 2025-2027'!H53</f>
        <v>4659.6000000000004</v>
      </c>
      <c r="F209" s="27">
        <f>'Функц. 2025-2027'!J53</f>
        <v>4669.1000000000004</v>
      </c>
      <c r="G209" s="152"/>
    </row>
    <row r="210" spans="1:7" s="134" customFormat="1" x14ac:dyDescent="0.25">
      <c r="A210" s="375" t="s">
        <v>96</v>
      </c>
      <c r="B210" s="26" t="s">
        <v>520</v>
      </c>
      <c r="C210" s="444">
        <v>120</v>
      </c>
      <c r="D210" s="27">
        <f>'Функц. 2025-2027'!F53</f>
        <v>4651.3999999999996</v>
      </c>
      <c r="E210" s="27">
        <f>'Функц. 2025-2027'!H53</f>
        <v>4659.6000000000004</v>
      </c>
      <c r="F210" s="27">
        <f>'Функц. 2025-2027'!J53</f>
        <v>4669.1000000000004</v>
      </c>
      <c r="G210" s="152"/>
    </row>
    <row r="211" spans="1:7" s="134" customFormat="1" x14ac:dyDescent="0.25">
      <c r="A211" s="375" t="s">
        <v>120</v>
      </c>
      <c r="B211" s="26" t="s">
        <v>520</v>
      </c>
      <c r="C211" s="444">
        <v>200</v>
      </c>
      <c r="D211" s="27">
        <f>D212</f>
        <v>526.6</v>
      </c>
      <c r="E211" s="27">
        <f>E212</f>
        <v>546.4</v>
      </c>
      <c r="F211" s="27">
        <f>F212</f>
        <v>566.9</v>
      </c>
      <c r="G211" s="152"/>
    </row>
    <row r="212" spans="1:7" s="134" customFormat="1" x14ac:dyDescent="0.25">
      <c r="A212" s="375" t="s">
        <v>52</v>
      </c>
      <c r="B212" s="26" t="s">
        <v>520</v>
      </c>
      <c r="C212" s="444">
        <v>240</v>
      </c>
      <c r="D212" s="27">
        <f>'Функц. 2025-2027'!F55</f>
        <v>526.6</v>
      </c>
      <c r="E212" s="27">
        <f>'Функц. 2025-2027'!H55</f>
        <v>546.4</v>
      </c>
      <c r="F212" s="27">
        <f>'Функц. 2025-2027'!J55</f>
        <v>566.9</v>
      </c>
      <c r="G212" s="152"/>
    </row>
    <row r="213" spans="1:7" ht="31.5" x14ac:dyDescent="0.25">
      <c r="A213" s="259" t="s">
        <v>346</v>
      </c>
      <c r="B213" s="156" t="s">
        <v>521</v>
      </c>
      <c r="C213" s="407"/>
      <c r="D213" s="27">
        <f>D214</f>
        <v>140</v>
      </c>
      <c r="E213" s="27">
        <f>E214</f>
        <v>140</v>
      </c>
      <c r="F213" s="27">
        <f>F214</f>
        <v>140</v>
      </c>
      <c r="G213" s="152"/>
    </row>
    <row r="214" spans="1:7" x14ac:dyDescent="0.25">
      <c r="A214" s="276" t="s">
        <v>523</v>
      </c>
      <c r="B214" s="156" t="s">
        <v>522</v>
      </c>
      <c r="C214" s="407"/>
      <c r="D214" s="27">
        <f>D218+D215</f>
        <v>140</v>
      </c>
      <c r="E214" s="27">
        <f>E218+E215</f>
        <v>140</v>
      </c>
      <c r="F214" s="27">
        <f>F218+F215</f>
        <v>140</v>
      </c>
      <c r="G214" s="152"/>
    </row>
    <row r="215" spans="1:7" s="177" customFormat="1" x14ac:dyDescent="0.25">
      <c r="A215" s="256" t="s">
        <v>594</v>
      </c>
      <c r="B215" s="156" t="s">
        <v>595</v>
      </c>
      <c r="C215" s="432"/>
      <c r="D215" s="27">
        <f t="shared" ref="D215:F216" si="64">D216</f>
        <v>70</v>
      </c>
      <c r="E215" s="27">
        <f t="shared" si="64"/>
        <v>70</v>
      </c>
      <c r="F215" s="27">
        <f t="shared" si="64"/>
        <v>70</v>
      </c>
      <c r="G215" s="152"/>
    </row>
    <row r="216" spans="1:7" s="177" customFormat="1" ht="31.5" x14ac:dyDescent="0.25">
      <c r="A216" s="375" t="s">
        <v>60</v>
      </c>
      <c r="B216" s="156" t="s">
        <v>595</v>
      </c>
      <c r="C216" s="432">
        <v>600</v>
      </c>
      <c r="D216" s="27">
        <f t="shared" si="64"/>
        <v>70</v>
      </c>
      <c r="E216" s="27">
        <f t="shared" si="64"/>
        <v>70</v>
      </c>
      <c r="F216" s="27">
        <f t="shared" si="64"/>
        <v>70</v>
      </c>
      <c r="G216" s="152"/>
    </row>
    <row r="217" spans="1:7" s="177" customFormat="1" ht="31.5" x14ac:dyDescent="0.25">
      <c r="A217" s="389" t="s">
        <v>408</v>
      </c>
      <c r="B217" s="156" t="s">
        <v>595</v>
      </c>
      <c r="C217" s="432">
        <v>630</v>
      </c>
      <c r="D217" s="27">
        <f>'Функц. 2025-2027'!F870</f>
        <v>70</v>
      </c>
      <c r="E217" s="27">
        <f>'Функц. 2025-2027'!H870</f>
        <v>70</v>
      </c>
      <c r="F217" s="27">
        <f>'Функц. 2025-2027'!J870</f>
        <v>70</v>
      </c>
      <c r="G217" s="152"/>
    </row>
    <row r="218" spans="1:7" ht="31.5" x14ac:dyDescent="0.25">
      <c r="A218" s="256" t="s">
        <v>575</v>
      </c>
      <c r="B218" s="156" t="s">
        <v>576</v>
      </c>
      <c r="C218" s="595"/>
      <c r="D218" s="27">
        <f t="shared" ref="D218:F219" si="65">D219</f>
        <v>70</v>
      </c>
      <c r="E218" s="27">
        <f t="shared" si="65"/>
        <v>70</v>
      </c>
      <c r="F218" s="27">
        <f t="shared" si="65"/>
        <v>70</v>
      </c>
      <c r="G218" s="152"/>
    </row>
    <row r="219" spans="1:7" ht="31.5" x14ac:dyDescent="0.25">
      <c r="A219" s="375" t="s">
        <v>60</v>
      </c>
      <c r="B219" s="156" t="s">
        <v>576</v>
      </c>
      <c r="C219" s="595">
        <v>600</v>
      </c>
      <c r="D219" s="27">
        <f t="shared" si="65"/>
        <v>70</v>
      </c>
      <c r="E219" s="27">
        <f t="shared" si="65"/>
        <v>70</v>
      </c>
      <c r="F219" s="27">
        <f t="shared" si="65"/>
        <v>70</v>
      </c>
      <c r="G219" s="152"/>
    </row>
    <row r="220" spans="1:7" ht="31.5" x14ac:dyDescent="0.25">
      <c r="A220" s="406" t="s">
        <v>408</v>
      </c>
      <c r="B220" s="156" t="s">
        <v>576</v>
      </c>
      <c r="C220" s="595">
        <v>630</v>
      </c>
      <c r="D220" s="27">
        <f>'Функц. 2025-2027'!F873</f>
        <v>70</v>
      </c>
      <c r="E220" s="27">
        <f>'Функц. 2025-2027'!H873</f>
        <v>70</v>
      </c>
      <c r="F220" s="27">
        <f>'Функц. 2025-2027'!J873</f>
        <v>70</v>
      </c>
      <c r="G220" s="152"/>
    </row>
    <row r="221" spans="1:7" s="177" customFormat="1" ht="31.5" x14ac:dyDescent="0.25">
      <c r="A221" s="523" t="s">
        <v>567</v>
      </c>
      <c r="B221" s="309" t="s">
        <v>570</v>
      </c>
      <c r="C221" s="444"/>
      <c r="D221" s="27">
        <f>D222</f>
        <v>70</v>
      </c>
      <c r="E221" s="27">
        <f t="shared" ref="E221:F224" si="66">E222</f>
        <v>0</v>
      </c>
      <c r="F221" s="27">
        <f t="shared" si="66"/>
        <v>0</v>
      </c>
      <c r="G221" s="152"/>
    </row>
    <row r="222" spans="1:7" s="177" customFormat="1" ht="31.5" x14ac:dyDescent="0.25">
      <c r="A222" s="376" t="s">
        <v>568</v>
      </c>
      <c r="B222" s="309" t="s">
        <v>571</v>
      </c>
      <c r="C222" s="444"/>
      <c r="D222" s="27">
        <f>D223</f>
        <v>70</v>
      </c>
      <c r="E222" s="27">
        <f t="shared" si="66"/>
        <v>0</v>
      </c>
      <c r="F222" s="27">
        <f t="shared" si="66"/>
        <v>0</v>
      </c>
      <c r="G222" s="152"/>
    </row>
    <row r="223" spans="1:7" s="177" customFormat="1" ht="31.5" x14ac:dyDescent="0.25">
      <c r="A223" s="376" t="s">
        <v>569</v>
      </c>
      <c r="B223" s="309" t="s">
        <v>572</v>
      </c>
      <c r="C223" s="444"/>
      <c r="D223" s="27">
        <f>D224</f>
        <v>70</v>
      </c>
      <c r="E223" s="27">
        <f t="shared" si="66"/>
        <v>0</v>
      </c>
      <c r="F223" s="27">
        <f t="shared" si="66"/>
        <v>0</v>
      </c>
      <c r="G223" s="152"/>
    </row>
    <row r="224" spans="1:7" s="177" customFormat="1" x14ac:dyDescent="0.25">
      <c r="A224" s="523" t="s">
        <v>120</v>
      </c>
      <c r="B224" s="309" t="s">
        <v>572</v>
      </c>
      <c r="C224" s="444">
        <v>200</v>
      </c>
      <c r="D224" s="27">
        <f>D225</f>
        <v>70</v>
      </c>
      <c r="E224" s="27">
        <f t="shared" si="66"/>
        <v>0</v>
      </c>
      <c r="F224" s="27">
        <f t="shared" si="66"/>
        <v>0</v>
      </c>
      <c r="G224" s="152"/>
    </row>
    <row r="225" spans="1:30" s="177" customFormat="1" x14ac:dyDescent="0.25">
      <c r="A225" s="523" t="s">
        <v>52</v>
      </c>
      <c r="B225" s="309" t="s">
        <v>572</v>
      </c>
      <c r="C225" s="444">
        <v>240</v>
      </c>
      <c r="D225" s="27">
        <f>'Функц. 2025-2027'!F60</f>
        <v>70</v>
      </c>
      <c r="E225" s="27">
        <f>'Функц. 2025-2027'!H60</f>
        <v>0</v>
      </c>
      <c r="F225" s="27">
        <f>'Функц. 2025-2027'!J60</f>
        <v>0</v>
      </c>
      <c r="G225" s="152"/>
    </row>
    <row r="226" spans="1:30" s="134" customFormat="1" x14ac:dyDescent="0.25">
      <c r="A226" s="396" t="s">
        <v>157</v>
      </c>
      <c r="B226" s="615" t="s">
        <v>115</v>
      </c>
      <c r="C226" s="594"/>
      <c r="D226" s="30">
        <f>D227+D239</f>
        <v>136390.6</v>
      </c>
      <c r="E226" s="30">
        <f>E227+E239</f>
        <v>124375.9</v>
      </c>
      <c r="F226" s="30">
        <f>F227+F239</f>
        <v>127463.3</v>
      </c>
      <c r="G226" s="152"/>
    </row>
    <row r="227" spans="1:30" s="134" customFormat="1" x14ac:dyDescent="0.25">
      <c r="A227" s="271" t="s">
        <v>158</v>
      </c>
      <c r="B227" s="156" t="s">
        <v>119</v>
      </c>
      <c r="C227" s="594"/>
      <c r="D227" s="27">
        <f>D228+D235</f>
        <v>10724.5</v>
      </c>
      <c r="E227" s="517">
        <f>E228+E235</f>
        <v>3632.9</v>
      </c>
      <c r="F227" s="517">
        <f>F228+F235</f>
        <v>5239.3</v>
      </c>
      <c r="G227" s="152"/>
    </row>
    <row r="228" spans="1:30" s="134" customFormat="1" ht="31.5" x14ac:dyDescent="0.25">
      <c r="A228" s="459" t="s">
        <v>752</v>
      </c>
      <c r="B228" s="156" t="s">
        <v>129</v>
      </c>
      <c r="C228" s="594"/>
      <c r="D228" s="27">
        <f t="shared" ref="D228:S229" si="67">D229</f>
        <v>5319.5</v>
      </c>
      <c r="E228" s="27">
        <f t="shared" si="67"/>
        <v>3632.9</v>
      </c>
      <c r="F228" s="27">
        <f t="shared" si="67"/>
        <v>5239.3</v>
      </c>
      <c r="G228" s="152"/>
    </row>
    <row r="229" spans="1:30" s="134" customFormat="1" ht="31.5" x14ac:dyDescent="0.25">
      <c r="A229" s="278" t="s">
        <v>524</v>
      </c>
      <c r="B229" s="156" t="s">
        <v>160</v>
      </c>
      <c r="C229" s="594"/>
      <c r="D229" s="27">
        <f>D230+D232</f>
        <v>5319.5</v>
      </c>
      <c r="E229" s="517">
        <f t="shared" ref="E229:F229" si="68">E230+E232</f>
        <v>3632.9</v>
      </c>
      <c r="F229" s="517">
        <f t="shared" si="68"/>
        <v>5239.3</v>
      </c>
      <c r="G229" s="517">
        <f t="shared" si="67"/>
        <v>0</v>
      </c>
      <c r="H229" s="517">
        <f t="shared" si="67"/>
        <v>0</v>
      </c>
      <c r="I229" s="517">
        <f t="shared" si="67"/>
        <v>0</v>
      </c>
      <c r="J229" s="517">
        <f t="shared" si="67"/>
        <v>0</v>
      </c>
      <c r="K229" s="517">
        <f t="shared" si="67"/>
        <v>0</v>
      </c>
      <c r="L229" s="517">
        <f t="shared" si="67"/>
        <v>0</v>
      </c>
      <c r="M229" s="517">
        <f t="shared" si="67"/>
        <v>0</v>
      </c>
      <c r="N229" s="517">
        <f t="shared" si="67"/>
        <v>0</v>
      </c>
      <c r="O229" s="517">
        <f t="shared" si="67"/>
        <v>0</v>
      </c>
      <c r="P229" s="517">
        <f t="shared" si="67"/>
        <v>0</v>
      </c>
      <c r="Q229" s="517">
        <f t="shared" si="67"/>
        <v>0</v>
      </c>
      <c r="R229" s="517">
        <f t="shared" si="67"/>
        <v>0</v>
      </c>
      <c r="S229" s="517">
        <f t="shared" si="67"/>
        <v>0</v>
      </c>
      <c r="T229" s="517">
        <f t="shared" ref="T229:AD229" si="69">T230</f>
        <v>0</v>
      </c>
      <c r="U229" s="517">
        <f t="shared" si="69"/>
        <v>0</v>
      </c>
      <c r="V229" s="517">
        <f t="shared" si="69"/>
        <v>0</v>
      </c>
      <c r="W229" s="517">
        <f t="shared" si="69"/>
        <v>0</v>
      </c>
      <c r="X229" s="517">
        <f t="shared" si="69"/>
        <v>0</v>
      </c>
      <c r="Y229" s="517">
        <f t="shared" si="69"/>
        <v>0</v>
      </c>
      <c r="Z229" s="517">
        <f t="shared" si="69"/>
        <v>0</v>
      </c>
      <c r="AA229" s="517">
        <f t="shared" si="69"/>
        <v>0</v>
      </c>
      <c r="AB229" s="517">
        <f t="shared" si="69"/>
        <v>0</v>
      </c>
      <c r="AC229" s="517">
        <f t="shared" si="69"/>
        <v>0</v>
      </c>
      <c r="AD229" s="517">
        <f t="shared" si="69"/>
        <v>0</v>
      </c>
    </row>
    <row r="230" spans="1:30" s="134" customFormat="1" x14ac:dyDescent="0.25">
      <c r="A230" s="393" t="s">
        <v>120</v>
      </c>
      <c r="B230" s="156" t="s">
        <v>160</v>
      </c>
      <c r="C230" s="602">
        <v>200</v>
      </c>
      <c r="D230" s="27">
        <f>D231</f>
        <v>4544.5</v>
      </c>
      <c r="E230" s="27">
        <f>E231</f>
        <v>2857.9</v>
      </c>
      <c r="F230" s="27">
        <f>F231</f>
        <v>3239.3</v>
      </c>
      <c r="G230" s="152"/>
    </row>
    <row r="231" spans="1:30" s="134" customFormat="1" x14ac:dyDescent="0.25">
      <c r="A231" s="393" t="s">
        <v>52</v>
      </c>
      <c r="B231" s="156" t="s">
        <v>160</v>
      </c>
      <c r="C231" s="602">
        <v>240</v>
      </c>
      <c r="D231" s="27">
        <f>'Функц. 2025-2027'!F881</f>
        <v>4544.5</v>
      </c>
      <c r="E231" s="27">
        <f>'Функц. 2025-2027'!H881</f>
        <v>2857.9</v>
      </c>
      <c r="F231" s="27">
        <f>'Функц. 2025-2027'!J881</f>
        <v>3239.3</v>
      </c>
      <c r="G231" s="152"/>
    </row>
    <row r="232" spans="1:30" s="513" customFormat="1" ht="31.5" x14ac:dyDescent="0.25">
      <c r="A232" s="559" t="s">
        <v>60</v>
      </c>
      <c r="B232" s="156" t="s">
        <v>160</v>
      </c>
      <c r="C232" s="454">
        <v>600</v>
      </c>
      <c r="D232" s="517">
        <f>D233+D234</f>
        <v>775</v>
      </c>
      <c r="E232" s="517">
        <f t="shared" ref="E232:F232" si="70">E233+E234</f>
        <v>775</v>
      </c>
      <c r="F232" s="517">
        <f t="shared" si="70"/>
        <v>2000</v>
      </c>
      <c r="G232" s="520"/>
    </row>
    <row r="233" spans="1:30" s="513" customFormat="1" x14ac:dyDescent="0.25">
      <c r="A233" s="479" t="s">
        <v>61</v>
      </c>
      <c r="B233" s="156" t="s">
        <v>160</v>
      </c>
      <c r="C233" s="454">
        <v>610</v>
      </c>
      <c r="D233" s="517">
        <f>'Функц. 2025-2027'!F883</f>
        <v>450</v>
      </c>
      <c r="E233" s="517">
        <f>'Функц. 2025-2027'!H883</f>
        <v>450</v>
      </c>
      <c r="F233" s="517">
        <f>'Функц. 2025-2027'!J883</f>
        <v>1162</v>
      </c>
      <c r="G233" s="520"/>
    </row>
    <row r="234" spans="1:30" s="513" customFormat="1" x14ac:dyDescent="0.25">
      <c r="A234" s="560" t="s">
        <v>130</v>
      </c>
      <c r="B234" s="156" t="s">
        <v>160</v>
      </c>
      <c r="C234" s="454">
        <v>620</v>
      </c>
      <c r="D234" s="517">
        <f>'Функц. 2025-2027'!F884</f>
        <v>325</v>
      </c>
      <c r="E234" s="517">
        <f>'Функц. 2025-2027'!H884</f>
        <v>325</v>
      </c>
      <c r="F234" s="517">
        <f>'Функц. 2025-2027'!J884</f>
        <v>838</v>
      </c>
      <c r="G234" s="520"/>
    </row>
    <row r="235" spans="1:30" s="513" customFormat="1" x14ac:dyDescent="0.25">
      <c r="A235" s="451" t="s">
        <v>686</v>
      </c>
      <c r="B235" s="613" t="s">
        <v>687</v>
      </c>
      <c r="C235" s="460"/>
      <c r="D235" s="517">
        <f>D236</f>
        <v>5405</v>
      </c>
      <c r="E235" s="517">
        <f t="shared" ref="E235:F235" si="71">E236</f>
        <v>0</v>
      </c>
      <c r="F235" s="517">
        <f t="shared" si="71"/>
        <v>0</v>
      </c>
      <c r="G235" s="520"/>
    </row>
    <row r="236" spans="1:30" s="513" customFormat="1" x14ac:dyDescent="0.25">
      <c r="A236" s="451" t="s">
        <v>688</v>
      </c>
      <c r="B236" s="613" t="s">
        <v>689</v>
      </c>
      <c r="C236" s="460"/>
      <c r="D236" s="517">
        <f>D237</f>
        <v>5405</v>
      </c>
      <c r="E236" s="517">
        <f t="shared" ref="E236:F236" si="72">E237</f>
        <v>0</v>
      </c>
      <c r="F236" s="517">
        <f t="shared" si="72"/>
        <v>0</v>
      </c>
      <c r="G236" s="520"/>
    </row>
    <row r="237" spans="1:30" s="513" customFormat="1" x14ac:dyDescent="0.25">
      <c r="A237" s="451" t="s">
        <v>120</v>
      </c>
      <c r="B237" s="613" t="s">
        <v>689</v>
      </c>
      <c r="C237" s="460">
        <v>200</v>
      </c>
      <c r="D237" s="517">
        <f>D238</f>
        <v>5405</v>
      </c>
      <c r="E237" s="517">
        <f t="shared" ref="E237:F237" si="73">E238</f>
        <v>0</v>
      </c>
      <c r="F237" s="517">
        <f t="shared" si="73"/>
        <v>0</v>
      </c>
      <c r="G237" s="520"/>
    </row>
    <row r="238" spans="1:30" s="513" customFormat="1" x14ac:dyDescent="0.25">
      <c r="A238" s="451" t="s">
        <v>52</v>
      </c>
      <c r="B238" s="613" t="s">
        <v>689</v>
      </c>
      <c r="C238" s="460">
        <v>240</v>
      </c>
      <c r="D238" s="517">
        <f>'Функц. 2025-2027'!F888</f>
        <v>5405</v>
      </c>
      <c r="E238" s="517">
        <f>'Функц. 2025-2027'!H888</f>
        <v>0</v>
      </c>
      <c r="F238" s="517">
        <f>'Функц. 2025-2027'!J888</f>
        <v>0</v>
      </c>
      <c r="G238" s="520"/>
    </row>
    <row r="239" spans="1:30" s="134" customFormat="1" x14ac:dyDescent="0.25">
      <c r="A239" s="273" t="s">
        <v>601</v>
      </c>
      <c r="B239" s="156" t="s">
        <v>602</v>
      </c>
      <c r="C239" s="602"/>
      <c r="D239" s="27">
        <f t="shared" ref="D239:F242" si="74">D240</f>
        <v>125666.1</v>
      </c>
      <c r="E239" s="27">
        <f t="shared" si="74"/>
        <v>120743</v>
      </c>
      <c r="F239" s="27">
        <f t="shared" si="74"/>
        <v>122224</v>
      </c>
      <c r="G239" s="152"/>
    </row>
    <row r="240" spans="1:30" s="134" customFormat="1" x14ac:dyDescent="0.25">
      <c r="A240" s="273" t="s">
        <v>604</v>
      </c>
      <c r="B240" s="156" t="s">
        <v>603</v>
      </c>
      <c r="C240" s="602"/>
      <c r="D240" s="27">
        <f t="shared" si="74"/>
        <v>125666.1</v>
      </c>
      <c r="E240" s="27">
        <f t="shared" si="74"/>
        <v>120743</v>
      </c>
      <c r="F240" s="27">
        <f t="shared" si="74"/>
        <v>122224</v>
      </c>
      <c r="G240" s="152"/>
    </row>
    <row r="241" spans="1:7" s="134" customFormat="1" ht="31.5" x14ac:dyDescent="0.25">
      <c r="A241" s="273" t="s">
        <v>606</v>
      </c>
      <c r="B241" s="156" t="s">
        <v>605</v>
      </c>
      <c r="C241" s="602"/>
      <c r="D241" s="27">
        <f t="shared" si="74"/>
        <v>125666.1</v>
      </c>
      <c r="E241" s="27">
        <f t="shared" si="74"/>
        <v>120743</v>
      </c>
      <c r="F241" s="27">
        <f t="shared" si="74"/>
        <v>122224</v>
      </c>
      <c r="G241" s="152"/>
    </row>
    <row r="242" spans="1:7" s="134" customFormat="1" ht="31.5" x14ac:dyDescent="0.25">
      <c r="A242" s="523" t="s">
        <v>60</v>
      </c>
      <c r="B242" s="156" t="s">
        <v>605</v>
      </c>
      <c r="C242" s="602">
        <v>600</v>
      </c>
      <c r="D242" s="27">
        <f t="shared" si="74"/>
        <v>125666.1</v>
      </c>
      <c r="E242" s="27">
        <f t="shared" si="74"/>
        <v>120743</v>
      </c>
      <c r="F242" s="27">
        <f t="shared" si="74"/>
        <v>122224</v>
      </c>
      <c r="G242" s="152"/>
    </row>
    <row r="243" spans="1:7" s="134" customFormat="1" x14ac:dyDescent="0.25">
      <c r="A243" s="273" t="s">
        <v>130</v>
      </c>
      <c r="B243" s="156" t="s">
        <v>605</v>
      </c>
      <c r="C243" s="602">
        <v>620</v>
      </c>
      <c r="D243" s="27">
        <f>'Функц. 2025-2027'!F895</f>
        <v>125666.1</v>
      </c>
      <c r="E243" s="27">
        <f>'Функц. 2025-2027'!H895</f>
        <v>120743</v>
      </c>
      <c r="F243" s="27">
        <f>'Функц. 2025-2027'!J895</f>
        <v>122224</v>
      </c>
      <c r="G243" s="152"/>
    </row>
    <row r="244" spans="1:7" ht="18.75" x14ac:dyDescent="0.3">
      <c r="A244" s="392" t="s">
        <v>238</v>
      </c>
      <c r="B244" s="615" t="s">
        <v>138</v>
      </c>
      <c r="C244" s="603"/>
      <c r="D244" s="30">
        <f t="shared" ref="D244:F246" si="75">D245</f>
        <v>919</v>
      </c>
      <c r="E244" s="30">
        <f t="shared" si="75"/>
        <v>919</v>
      </c>
      <c r="F244" s="30">
        <f t="shared" si="75"/>
        <v>919</v>
      </c>
      <c r="G244" s="152"/>
    </row>
    <row r="245" spans="1:7" ht="31.5" x14ac:dyDescent="0.3">
      <c r="A245" s="271" t="s">
        <v>525</v>
      </c>
      <c r="B245" s="156" t="s">
        <v>239</v>
      </c>
      <c r="C245" s="603"/>
      <c r="D245" s="27">
        <f t="shared" si="75"/>
        <v>919</v>
      </c>
      <c r="E245" s="27">
        <f t="shared" si="75"/>
        <v>919</v>
      </c>
      <c r="F245" s="27">
        <f t="shared" si="75"/>
        <v>919</v>
      </c>
      <c r="G245" s="152"/>
    </row>
    <row r="246" spans="1:7" ht="18.75" x14ac:dyDescent="0.3">
      <c r="A246" s="255" t="s">
        <v>526</v>
      </c>
      <c r="B246" s="156" t="s">
        <v>240</v>
      </c>
      <c r="C246" s="603"/>
      <c r="D246" s="27">
        <f t="shared" si="75"/>
        <v>919</v>
      </c>
      <c r="E246" s="27">
        <f t="shared" si="75"/>
        <v>919</v>
      </c>
      <c r="F246" s="27">
        <f t="shared" si="75"/>
        <v>919</v>
      </c>
      <c r="G246" s="152"/>
    </row>
    <row r="247" spans="1:7" ht="31.5" x14ac:dyDescent="0.25">
      <c r="A247" s="255" t="s">
        <v>422</v>
      </c>
      <c r="B247" s="156" t="s">
        <v>241</v>
      </c>
      <c r="C247" s="444"/>
      <c r="D247" s="27">
        <f>D250+D248</f>
        <v>919</v>
      </c>
      <c r="E247" s="517">
        <f t="shared" ref="E247:F247" si="76">E250+E248</f>
        <v>919</v>
      </c>
      <c r="F247" s="517">
        <f t="shared" si="76"/>
        <v>919</v>
      </c>
      <c r="G247" s="152"/>
    </row>
    <row r="248" spans="1:7" s="519" customFormat="1" ht="47.25" x14ac:dyDescent="0.25">
      <c r="A248" s="451" t="s">
        <v>41</v>
      </c>
      <c r="B248" s="542" t="s">
        <v>241</v>
      </c>
      <c r="C248" s="454">
        <v>100</v>
      </c>
      <c r="D248" s="517">
        <f>D249</f>
        <v>307</v>
      </c>
      <c r="E248" s="517">
        <f t="shared" ref="E248:F248" si="77">E249</f>
        <v>0</v>
      </c>
      <c r="F248" s="517">
        <f t="shared" si="77"/>
        <v>0</v>
      </c>
      <c r="G248" s="520"/>
    </row>
    <row r="249" spans="1:7" s="519" customFormat="1" x14ac:dyDescent="0.25">
      <c r="A249" s="451" t="s">
        <v>96</v>
      </c>
      <c r="B249" s="542" t="s">
        <v>241</v>
      </c>
      <c r="C249" s="454">
        <v>120</v>
      </c>
      <c r="D249" s="517">
        <f>'Функц. 2025-2027'!F311</f>
        <v>307</v>
      </c>
      <c r="E249" s="517">
        <f>'Функц. 2025-2027'!H311</f>
        <v>0</v>
      </c>
      <c r="F249" s="517">
        <f>'Функц. 2025-2027'!J311</f>
        <v>0</v>
      </c>
      <c r="G249" s="520"/>
    </row>
    <row r="250" spans="1:7" x14ac:dyDescent="0.25">
      <c r="A250" s="273" t="s">
        <v>120</v>
      </c>
      <c r="B250" s="156" t="s">
        <v>241</v>
      </c>
      <c r="C250" s="407">
        <v>200</v>
      </c>
      <c r="D250" s="27">
        <f>D251</f>
        <v>612</v>
      </c>
      <c r="E250" s="27">
        <f>E251</f>
        <v>919</v>
      </c>
      <c r="F250" s="27">
        <f>F251</f>
        <v>919</v>
      </c>
      <c r="G250" s="152"/>
    </row>
    <row r="251" spans="1:7" x14ac:dyDescent="0.25">
      <c r="A251" s="273" t="s">
        <v>52</v>
      </c>
      <c r="B251" s="156" t="s">
        <v>241</v>
      </c>
      <c r="C251" s="444">
        <v>240</v>
      </c>
      <c r="D251" s="27">
        <f>'Функц. 2025-2027'!F313</f>
        <v>612</v>
      </c>
      <c r="E251" s="27">
        <f>'Функц. 2025-2027'!H313</f>
        <v>919</v>
      </c>
      <c r="F251" s="27">
        <f>'Функц. 2025-2027'!J313</f>
        <v>919</v>
      </c>
      <c r="G251" s="152"/>
    </row>
    <row r="252" spans="1:7" s="513" customFormat="1" x14ac:dyDescent="0.25">
      <c r="A252" s="254" t="s">
        <v>693</v>
      </c>
      <c r="B252" s="615" t="s">
        <v>694</v>
      </c>
      <c r="C252" s="601"/>
      <c r="D252" s="518">
        <f>D253</f>
        <v>134</v>
      </c>
      <c r="E252" s="518">
        <f t="shared" ref="E252:F255" si="78">E253</f>
        <v>134</v>
      </c>
      <c r="F252" s="518">
        <f t="shared" si="78"/>
        <v>134</v>
      </c>
      <c r="G252" s="531"/>
    </row>
    <row r="253" spans="1:7" s="519" customFormat="1" x14ac:dyDescent="0.25">
      <c r="A253" s="523" t="s">
        <v>695</v>
      </c>
      <c r="B253" s="156" t="s">
        <v>696</v>
      </c>
      <c r="C253" s="444"/>
      <c r="D253" s="517">
        <f>D254</f>
        <v>134</v>
      </c>
      <c r="E253" s="517">
        <f t="shared" si="78"/>
        <v>134</v>
      </c>
      <c r="F253" s="517">
        <f t="shared" si="78"/>
        <v>134</v>
      </c>
      <c r="G253" s="520"/>
    </row>
    <row r="254" spans="1:7" s="519" customFormat="1" x14ac:dyDescent="0.25">
      <c r="A254" s="523" t="s">
        <v>697</v>
      </c>
      <c r="B254" s="156" t="s">
        <v>698</v>
      </c>
      <c r="C254" s="444"/>
      <c r="D254" s="517">
        <f>D255</f>
        <v>134</v>
      </c>
      <c r="E254" s="517">
        <f t="shared" si="78"/>
        <v>134</v>
      </c>
      <c r="F254" s="517">
        <f t="shared" si="78"/>
        <v>134</v>
      </c>
      <c r="G254" s="520"/>
    </row>
    <row r="255" spans="1:7" s="519" customFormat="1" ht="24.75" customHeight="1" x14ac:dyDescent="0.25">
      <c r="A255" s="523" t="s">
        <v>753</v>
      </c>
      <c r="B255" s="156" t="s">
        <v>699</v>
      </c>
      <c r="C255" s="444"/>
      <c r="D255" s="517">
        <f>D256</f>
        <v>134</v>
      </c>
      <c r="E255" s="517">
        <f t="shared" si="78"/>
        <v>134</v>
      </c>
      <c r="F255" s="517">
        <f t="shared" si="78"/>
        <v>134</v>
      </c>
      <c r="G255" s="520"/>
    </row>
    <row r="256" spans="1:7" s="519" customFormat="1" ht="31.5" x14ac:dyDescent="0.25">
      <c r="A256" s="377" t="s">
        <v>60</v>
      </c>
      <c r="B256" s="156" t="s">
        <v>699</v>
      </c>
      <c r="C256" s="444">
        <v>600</v>
      </c>
      <c r="D256" s="517">
        <f>D257</f>
        <v>134</v>
      </c>
      <c r="E256" s="517">
        <f t="shared" ref="E256:F256" si="79">E257</f>
        <v>134</v>
      </c>
      <c r="F256" s="517">
        <f t="shared" si="79"/>
        <v>134</v>
      </c>
      <c r="G256" s="520"/>
    </row>
    <row r="257" spans="1:7" s="519" customFormat="1" x14ac:dyDescent="0.25">
      <c r="A257" s="523" t="s">
        <v>61</v>
      </c>
      <c r="B257" s="156" t="s">
        <v>699</v>
      </c>
      <c r="C257" s="444">
        <v>610</v>
      </c>
      <c r="D257" s="517">
        <f>'Функц. 2025-2027'!F571</f>
        <v>134</v>
      </c>
      <c r="E257" s="517">
        <f>'Функц. 2025-2027'!H571</f>
        <v>134</v>
      </c>
      <c r="F257" s="517">
        <f>'Функц. 2025-2027'!J571</f>
        <v>134</v>
      </c>
      <c r="G257" s="520"/>
    </row>
    <row r="258" spans="1:7" s="134" customFormat="1" ht="31.5" x14ac:dyDescent="0.25">
      <c r="A258" s="395" t="s">
        <v>161</v>
      </c>
      <c r="B258" s="618" t="s">
        <v>102</v>
      </c>
      <c r="C258" s="594"/>
      <c r="D258" s="30">
        <f>D259+D289+D298+D311+D318+D325</f>
        <v>74203.199999999997</v>
      </c>
      <c r="E258" s="30">
        <f>E259+E289+E298+E311+E325+E318</f>
        <v>30390</v>
      </c>
      <c r="F258" s="30">
        <f>F259+F289+F298+F311+F325+F318</f>
        <v>28356.400000000001</v>
      </c>
      <c r="G258" s="152"/>
    </row>
    <row r="259" spans="1:7" s="134" customFormat="1" x14ac:dyDescent="0.25">
      <c r="A259" s="275" t="s">
        <v>162</v>
      </c>
      <c r="B259" s="26" t="s">
        <v>106</v>
      </c>
      <c r="C259" s="407"/>
      <c r="D259" s="27">
        <f>D260+D264+D268+D272</f>
        <v>43658</v>
      </c>
      <c r="E259" s="27">
        <f>E260+E264+E268+E272</f>
        <v>17532</v>
      </c>
      <c r="F259" s="27">
        <f>F260+F264+F268+F272</f>
        <v>15462.4</v>
      </c>
      <c r="G259" s="152"/>
    </row>
    <row r="260" spans="1:7" s="134" customFormat="1" ht="31.5" x14ac:dyDescent="0.25">
      <c r="A260" s="277" t="s">
        <v>163</v>
      </c>
      <c r="B260" s="156" t="s">
        <v>123</v>
      </c>
      <c r="C260" s="407"/>
      <c r="D260" s="27">
        <f t="shared" ref="D260:F262" si="80">D261</f>
        <v>864.8</v>
      </c>
      <c r="E260" s="27">
        <f t="shared" si="80"/>
        <v>64.8</v>
      </c>
      <c r="F260" s="27">
        <f t="shared" si="80"/>
        <v>64.8</v>
      </c>
      <c r="G260" s="152"/>
    </row>
    <row r="261" spans="1:7" s="134" customFormat="1" ht="31.5" x14ac:dyDescent="0.25">
      <c r="A261" s="277" t="s">
        <v>164</v>
      </c>
      <c r="B261" s="156" t="s">
        <v>165</v>
      </c>
      <c r="C261" s="407"/>
      <c r="D261" s="27">
        <f>D262</f>
        <v>864.8</v>
      </c>
      <c r="E261" s="27">
        <f t="shared" si="80"/>
        <v>64.8</v>
      </c>
      <c r="F261" s="27">
        <f t="shared" si="80"/>
        <v>64.8</v>
      </c>
      <c r="G261" s="152"/>
    </row>
    <row r="262" spans="1:7" s="134" customFormat="1" ht="31.5" x14ac:dyDescent="0.25">
      <c r="A262" s="393" t="s">
        <v>60</v>
      </c>
      <c r="B262" s="156" t="s">
        <v>165</v>
      </c>
      <c r="C262" s="444">
        <v>600</v>
      </c>
      <c r="D262" s="27">
        <f t="shared" si="80"/>
        <v>864.8</v>
      </c>
      <c r="E262" s="27">
        <f t="shared" si="80"/>
        <v>64.8</v>
      </c>
      <c r="F262" s="27">
        <f t="shared" si="80"/>
        <v>64.8</v>
      </c>
      <c r="G262" s="152"/>
    </row>
    <row r="263" spans="1:7" s="134" customFormat="1" ht="31.5" x14ac:dyDescent="0.25">
      <c r="A263" s="393" t="s">
        <v>408</v>
      </c>
      <c r="B263" s="156" t="s">
        <v>165</v>
      </c>
      <c r="C263" s="444">
        <v>630</v>
      </c>
      <c r="D263" s="27">
        <f>'Функц. 2025-2027'!F294</f>
        <v>864.8</v>
      </c>
      <c r="E263" s="27">
        <f>'Функц. 2025-2027'!H294</f>
        <v>64.8</v>
      </c>
      <c r="F263" s="27">
        <f>'Функц. 2025-2027'!J294</f>
        <v>64.8</v>
      </c>
      <c r="G263" s="152"/>
    </row>
    <row r="264" spans="1:7" s="134" customFormat="1" ht="31.5" x14ac:dyDescent="0.25">
      <c r="A264" s="277" t="s">
        <v>527</v>
      </c>
      <c r="B264" s="156" t="s">
        <v>166</v>
      </c>
      <c r="C264" s="407"/>
      <c r="D264" s="27">
        <f t="shared" ref="D264:F265" si="81">D265</f>
        <v>295.2</v>
      </c>
      <c r="E264" s="27">
        <f t="shared" si="81"/>
        <v>295.2</v>
      </c>
      <c r="F264" s="27">
        <f t="shared" si="81"/>
        <v>295.2</v>
      </c>
      <c r="G264" s="152"/>
    </row>
    <row r="265" spans="1:7" s="134" customFormat="1" ht="31.5" x14ac:dyDescent="0.25">
      <c r="A265" s="275" t="s">
        <v>598</v>
      </c>
      <c r="B265" s="156" t="s">
        <v>599</v>
      </c>
      <c r="C265" s="407"/>
      <c r="D265" s="27">
        <f t="shared" si="81"/>
        <v>295.2</v>
      </c>
      <c r="E265" s="27">
        <f t="shared" si="81"/>
        <v>295.2</v>
      </c>
      <c r="F265" s="27">
        <f t="shared" si="81"/>
        <v>295.2</v>
      </c>
      <c r="G265" s="152"/>
    </row>
    <row r="266" spans="1:7" s="134" customFormat="1" x14ac:dyDescent="0.25">
      <c r="A266" s="273" t="s">
        <v>120</v>
      </c>
      <c r="B266" s="156" t="s">
        <v>599</v>
      </c>
      <c r="C266" s="444">
        <v>200</v>
      </c>
      <c r="D266" s="27">
        <f>D267</f>
        <v>295.2</v>
      </c>
      <c r="E266" s="27">
        <f>E267</f>
        <v>295.2</v>
      </c>
      <c r="F266" s="27">
        <f>F267</f>
        <v>295.2</v>
      </c>
      <c r="G266" s="152"/>
    </row>
    <row r="267" spans="1:7" s="134" customFormat="1" x14ac:dyDescent="0.25">
      <c r="A267" s="273" t="s">
        <v>52</v>
      </c>
      <c r="B267" s="156" t="s">
        <v>599</v>
      </c>
      <c r="C267" s="444">
        <v>240</v>
      </c>
      <c r="D267" s="27">
        <f>'Функц. 2025-2027'!F699</f>
        <v>295.2</v>
      </c>
      <c r="E267" s="27">
        <f>'Функц. 2025-2027'!H699</f>
        <v>295.2</v>
      </c>
      <c r="F267" s="27">
        <f>'Функц. 2025-2027'!J699</f>
        <v>295.2</v>
      </c>
      <c r="G267" s="152"/>
    </row>
    <row r="268" spans="1:7" s="134" customFormat="1" ht="31.5" x14ac:dyDescent="0.25">
      <c r="A268" s="277" t="s">
        <v>167</v>
      </c>
      <c r="B268" s="156" t="s">
        <v>168</v>
      </c>
      <c r="C268" s="444"/>
      <c r="D268" s="27">
        <f t="shared" ref="D268:F270" si="82">D269</f>
        <v>18479</v>
      </c>
      <c r="E268" s="27">
        <f t="shared" si="82"/>
        <v>12054</v>
      </c>
      <c r="F268" s="27">
        <f t="shared" si="82"/>
        <v>9984.4</v>
      </c>
      <c r="G268" s="152"/>
    </row>
    <row r="269" spans="1:7" s="134" customFormat="1" x14ac:dyDescent="0.25">
      <c r="A269" s="275" t="s">
        <v>169</v>
      </c>
      <c r="B269" s="156" t="s">
        <v>170</v>
      </c>
      <c r="C269" s="444"/>
      <c r="D269" s="27">
        <f t="shared" si="82"/>
        <v>18479</v>
      </c>
      <c r="E269" s="27">
        <f t="shared" si="82"/>
        <v>12054</v>
      </c>
      <c r="F269" s="27">
        <f t="shared" si="82"/>
        <v>9984.4</v>
      </c>
      <c r="G269" s="152"/>
    </row>
    <row r="270" spans="1:7" s="134" customFormat="1" x14ac:dyDescent="0.25">
      <c r="A270" s="273" t="s">
        <v>120</v>
      </c>
      <c r="B270" s="156" t="s">
        <v>170</v>
      </c>
      <c r="C270" s="444">
        <v>200</v>
      </c>
      <c r="D270" s="27">
        <f t="shared" si="82"/>
        <v>18479</v>
      </c>
      <c r="E270" s="27">
        <f t="shared" si="82"/>
        <v>12054</v>
      </c>
      <c r="F270" s="27">
        <f t="shared" si="82"/>
        <v>9984.4</v>
      </c>
      <c r="G270" s="152"/>
    </row>
    <row r="271" spans="1:7" s="134" customFormat="1" x14ac:dyDescent="0.25">
      <c r="A271" s="273" t="s">
        <v>52</v>
      </c>
      <c r="B271" s="156" t="s">
        <v>170</v>
      </c>
      <c r="C271" s="444">
        <v>240</v>
      </c>
      <c r="D271" s="27">
        <f>'Функц. 2025-2027'!F298</f>
        <v>18479</v>
      </c>
      <c r="E271" s="27">
        <f>'Функц. 2025-2027'!H298</f>
        <v>12054</v>
      </c>
      <c r="F271" s="27">
        <f>'Функц. 2025-2027'!J298</f>
        <v>9984.4</v>
      </c>
      <c r="G271" s="152"/>
    </row>
    <row r="272" spans="1:7" s="134" customFormat="1" x14ac:dyDescent="0.25">
      <c r="A272" s="274" t="s">
        <v>528</v>
      </c>
      <c r="B272" s="26" t="s">
        <v>335</v>
      </c>
      <c r="C272" s="525"/>
      <c r="D272" s="27">
        <f>D273+D276+D279+D286</f>
        <v>24019</v>
      </c>
      <c r="E272" s="27">
        <f>E273+E276+E279+E286</f>
        <v>5118</v>
      </c>
      <c r="F272" s="27">
        <f>F273+F276+F279+F286</f>
        <v>5118</v>
      </c>
      <c r="G272" s="152"/>
    </row>
    <row r="273" spans="1:7" s="134" customFormat="1" x14ac:dyDescent="0.25">
      <c r="A273" s="274" t="s">
        <v>246</v>
      </c>
      <c r="B273" s="156" t="s">
        <v>334</v>
      </c>
      <c r="C273" s="407"/>
      <c r="D273" s="27">
        <f t="shared" ref="D273:F274" si="83">D274</f>
        <v>607.70000000000005</v>
      </c>
      <c r="E273" s="27">
        <f t="shared" si="83"/>
        <v>0</v>
      </c>
      <c r="F273" s="27">
        <f t="shared" si="83"/>
        <v>0</v>
      </c>
      <c r="G273" s="152"/>
    </row>
    <row r="274" spans="1:7" s="134" customFormat="1" x14ac:dyDescent="0.25">
      <c r="A274" s="393" t="s">
        <v>120</v>
      </c>
      <c r="B274" s="156" t="s">
        <v>334</v>
      </c>
      <c r="C274" s="444">
        <v>200</v>
      </c>
      <c r="D274" s="27">
        <f t="shared" si="83"/>
        <v>607.70000000000005</v>
      </c>
      <c r="E274" s="27">
        <f t="shared" si="83"/>
        <v>0</v>
      </c>
      <c r="F274" s="27">
        <f t="shared" si="83"/>
        <v>0</v>
      </c>
      <c r="G274" s="152"/>
    </row>
    <row r="275" spans="1:7" s="134" customFormat="1" x14ac:dyDescent="0.25">
      <c r="A275" s="393" t="s">
        <v>52</v>
      </c>
      <c r="B275" s="156" t="s">
        <v>334</v>
      </c>
      <c r="C275" s="444">
        <v>240</v>
      </c>
      <c r="D275" s="27">
        <f>'Функц. 2025-2027'!F373</f>
        <v>607.70000000000005</v>
      </c>
      <c r="E275" s="27">
        <f>'Функц. 2025-2027'!H373</f>
        <v>0</v>
      </c>
      <c r="F275" s="27">
        <f>'Функц. 2025-2027'!J373</f>
        <v>0</v>
      </c>
      <c r="G275" s="152"/>
    </row>
    <row r="276" spans="1:7" x14ac:dyDescent="0.25">
      <c r="A276" s="277" t="s">
        <v>248</v>
      </c>
      <c r="B276" s="26" t="s">
        <v>356</v>
      </c>
      <c r="C276" s="525"/>
      <c r="D276" s="27">
        <f t="shared" ref="D276:F277" si="84">D277</f>
        <v>15638.8</v>
      </c>
      <c r="E276" s="27">
        <f t="shared" si="84"/>
        <v>0</v>
      </c>
      <c r="F276" s="27">
        <f t="shared" si="84"/>
        <v>0</v>
      </c>
      <c r="G276" s="152"/>
    </row>
    <row r="277" spans="1:7" x14ac:dyDescent="0.25">
      <c r="A277" s="273" t="s">
        <v>120</v>
      </c>
      <c r="B277" s="26" t="s">
        <v>356</v>
      </c>
      <c r="C277" s="525" t="s">
        <v>37</v>
      </c>
      <c r="D277" s="27">
        <f t="shared" si="84"/>
        <v>15638.8</v>
      </c>
      <c r="E277" s="27">
        <f t="shared" si="84"/>
        <v>0</v>
      </c>
      <c r="F277" s="27">
        <f t="shared" si="84"/>
        <v>0</v>
      </c>
      <c r="G277" s="152"/>
    </row>
    <row r="278" spans="1:7" x14ac:dyDescent="0.25">
      <c r="A278" s="273" t="s">
        <v>52</v>
      </c>
      <c r="B278" s="26" t="s">
        <v>356</v>
      </c>
      <c r="C278" s="525" t="s">
        <v>65</v>
      </c>
      <c r="D278" s="27">
        <f>'Функц. 2025-2027'!F451</f>
        <v>15638.8</v>
      </c>
      <c r="E278" s="27">
        <f>'Функц. 2025-2027'!H451</f>
        <v>0</v>
      </c>
      <c r="F278" s="27">
        <f>'Функц. 2025-2027'!J451</f>
        <v>0</v>
      </c>
      <c r="G278" s="152"/>
    </row>
    <row r="279" spans="1:7" ht="31.5" x14ac:dyDescent="0.25">
      <c r="A279" s="276" t="s">
        <v>247</v>
      </c>
      <c r="B279" s="26" t="s">
        <v>337</v>
      </c>
      <c r="C279" s="525"/>
      <c r="D279" s="27">
        <f>D280+D282+D284</f>
        <v>7395.5</v>
      </c>
      <c r="E279" s="517">
        <f t="shared" ref="E279:F279" si="85">E280+E282+E284</f>
        <v>4741</v>
      </c>
      <c r="F279" s="517">
        <f t="shared" si="85"/>
        <v>4741</v>
      </c>
      <c r="G279" s="152"/>
    </row>
    <row r="280" spans="1:7" ht="47.25" x14ac:dyDescent="0.25">
      <c r="A280" s="273" t="s">
        <v>41</v>
      </c>
      <c r="B280" s="26" t="s">
        <v>337</v>
      </c>
      <c r="C280" s="525" t="s">
        <v>127</v>
      </c>
      <c r="D280" s="27">
        <f>D281</f>
        <v>6478.7</v>
      </c>
      <c r="E280" s="27">
        <f>E281</f>
        <v>3841.6</v>
      </c>
      <c r="F280" s="27">
        <f>F281</f>
        <v>3841.6</v>
      </c>
      <c r="G280" s="152"/>
    </row>
    <row r="281" spans="1:7" x14ac:dyDescent="0.25">
      <c r="A281" s="273" t="s">
        <v>68</v>
      </c>
      <c r="B281" s="26" t="s">
        <v>337</v>
      </c>
      <c r="C281" s="525" t="s">
        <v>128</v>
      </c>
      <c r="D281" s="27">
        <f>'Функц. 2025-2027'!F454</f>
        <v>6478.7</v>
      </c>
      <c r="E281" s="27">
        <f>'Функц. 2025-2027'!H454</f>
        <v>3841.6</v>
      </c>
      <c r="F281" s="27">
        <f>'Функц. 2025-2027'!J454</f>
        <v>3841.6</v>
      </c>
      <c r="G281" s="152"/>
    </row>
    <row r="282" spans="1:7" x14ac:dyDescent="0.25">
      <c r="A282" s="273" t="s">
        <v>120</v>
      </c>
      <c r="B282" s="26" t="s">
        <v>337</v>
      </c>
      <c r="C282" s="525" t="s">
        <v>37</v>
      </c>
      <c r="D282" s="27">
        <f>D283</f>
        <v>915.3</v>
      </c>
      <c r="E282" s="27">
        <f>E283</f>
        <v>899.4</v>
      </c>
      <c r="F282" s="27">
        <f>F283</f>
        <v>899.4</v>
      </c>
      <c r="G282" s="152"/>
    </row>
    <row r="283" spans="1:7" x14ac:dyDescent="0.25">
      <c r="A283" s="273" t="s">
        <v>52</v>
      </c>
      <c r="B283" s="26" t="s">
        <v>337</v>
      </c>
      <c r="C283" s="525" t="s">
        <v>65</v>
      </c>
      <c r="D283" s="31">
        <f>'Функц. 2025-2027'!F456</f>
        <v>915.3</v>
      </c>
      <c r="E283" s="31">
        <f>'Функц. 2025-2027'!H456</f>
        <v>899.4</v>
      </c>
      <c r="F283" s="31">
        <f>'Функц. 2025-2027'!J456</f>
        <v>899.4</v>
      </c>
      <c r="G283" s="152"/>
    </row>
    <row r="284" spans="1:7" s="519" customFormat="1" x14ac:dyDescent="0.25">
      <c r="A284" s="451" t="s">
        <v>42</v>
      </c>
      <c r="B284" s="541" t="s">
        <v>337</v>
      </c>
      <c r="C284" s="473" t="s">
        <v>347</v>
      </c>
      <c r="D284" s="31">
        <f>D285</f>
        <v>1.5</v>
      </c>
      <c r="E284" s="31">
        <f t="shared" ref="E284:F284" si="86">E285</f>
        <v>0</v>
      </c>
      <c r="F284" s="31">
        <f t="shared" si="86"/>
        <v>0</v>
      </c>
      <c r="G284" s="520"/>
    </row>
    <row r="285" spans="1:7" s="519" customFormat="1" x14ac:dyDescent="0.25">
      <c r="A285" s="451" t="s">
        <v>57</v>
      </c>
      <c r="B285" s="541" t="s">
        <v>337</v>
      </c>
      <c r="C285" s="473" t="s">
        <v>824</v>
      </c>
      <c r="D285" s="31">
        <f>'Функц. 2025-2027'!F458</f>
        <v>1.5</v>
      </c>
      <c r="E285" s="31">
        <f>'Функц. 2025-2027'!H458</f>
        <v>0</v>
      </c>
      <c r="F285" s="31">
        <f>'Функц. 2025-2027'!J458</f>
        <v>0</v>
      </c>
      <c r="G285" s="520"/>
    </row>
    <row r="286" spans="1:7" s="177" customFormat="1" ht="47.25" x14ac:dyDescent="0.25">
      <c r="A286" s="523" t="s">
        <v>360</v>
      </c>
      <c r="B286" s="26" t="s">
        <v>359</v>
      </c>
      <c r="C286" s="444"/>
      <c r="D286" s="31">
        <f t="shared" ref="D286:F287" si="87">D287</f>
        <v>377</v>
      </c>
      <c r="E286" s="31">
        <f t="shared" si="87"/>
        <v>377</v>
      </c>
      <c r="F286" s="31">
        <f t="shared" si="87"/>
        <v>377</v>
      </c>
      <c r="G286" s="152"/>
    </row>
    <row r="287" spans="1:7" s="177" customFormat="1" x14ac:dyDescent="0.25">
      <c r="A287" s="273" t="s">
        <v>120</v>
      </c>
      <c r="B287" s="26" t="s">
        <v>359</v>
      </c>
      <c r="C287" s="444">
        <v>200</v>
      </c>
      <c r="D287" s="31">
        <f t="shared" si="87"/>
        <v>377</v>
      </c>
      <c r="E287" s="31">
        <f t="shared" si="87"/>
        <v>377</v>
      </c>
      <c r="F287" s="31">
        <f t="shared" si="87"/>
        <v>377</v>
      </c>
      <c r="G287" s="152"/>
    </row>
    <row r="288" spans="1:7" s="177" customFormat="1" x14ac:dyDescent="0.25">
      <c r="A288" s="273" t="s">
        <v>52</v>
      </c>
      <c r="B288" s="26" t="s">
        <v>359</v>
      </c>
      <c r="C288" s="444">
        <v>240</v>
      </c>
      <c r="D288" s="31">
        <f>'Функц. 2025-2027'!F376</f>
        <v>377</v>
      </c>
      <c r="E288" s="31">
        <f>'Функц. 2025-2027'!H376</f>
        <v>377</v>
      </c>
      <c r="F288" s="31">
        <f>'Функц. 2025-2027'!J376</f>
        <v>377</v>
      </c>
      <c r="G288" s="152"/>
    </row>
    <row r="289" spans="1:7" s="134" customFormat="1" ht="31.5" x14ac:dyDescent="0.25">
      <c r="A289" s="457" t="s">
        <v>723</v>
      </c>
      <c r="B289" s="156" t="s">
        <v>107</v>
      </c>
      <c r="C289" s="525"/>
      <c r="D289" s="27">
        <f>D290+D294</f>
        <v>467</v>
      </c>
      <c r="E289" s="27">
        <f>E290+E294</f>
        <v>567</v>
      </c>
      <c r="F289" s="27">
        <f>F290+F294</f>
        <v>567</v>
      </c>
      <c r="G289" s="152"/>
    </row>
    <row r="290" spans="1:7" s="134" customFormat="1" ht="31.5" x14ac:dyDescent="0.25">
      <c r="A290" s="277" t="s">
        <v>724</v>
      </c>
      <c r="B290" s="156" t="s">
        <v>171</v>
      </c>
      <c r="C290" s="525"/>
      <c r="D290" s="27">
        <f>D291</f>
        <v>340</v>
      </c>
      <c r="E290" s="27">
        <f>E291</f>
        <v>340</v>
      </c>
      <c r="F290" s="27">
        <f>F291</f>
        <v>340</v>
      </c>
      <c r="G290" s="152"/>
    </row>
    <row r="291" spans="1:7" s="134" customFormat="1" ht="33.75" customHeight="1" x14ac:dyDescent="0.25">
      <c r="A291" s="277" t="s">
        <v>754</v>
      </c>
      <c r="B291" s="156" t="s">
        <v>555</v>
      </c>
      <c r="C291" s="525"/>
      <c r="D291" s="27">
        <f>D292</f>
        <v>340</v>
      </c>
      <c r="E291" s="27">
        <f t="shared" ref="D291:F292" si="88">E292</f>
        <v>340</v>
      </c>
      <c r="F291" s="27">
        <f t="shared" si="88"/>
        <v>340</v>
      </c>
      <c r="G291" s="152"/>
    </row>
    <row r="292" spans="1:7" s="134" customFormat="1" x14ac:dyDescent="0.25">
      <c r="A292" s="393" t="s">
        <v>120</v>
      </c>
      <c r="B292" s="156" t="s">
        <v>555</v>
      </c>
      <c r="C292" s="604" t="s">
        <v>37</v>
      </c>
      <c r="D292" s="27">
        <f t="shared" si="88"/>
        <v>340</v>
      </c>
      <c r="E292" s="27">
        <f t="shared" si="88"/>
        <v>340</v>
      </c>
      <c r="F292" s="27">
        <f t="shared" si="88"/>
        <v>340</v>
      </c>
      <c r="G292" s="152"/>
    </row>
    <row r="293" spans="1:7" s="134" customFormat="1" x14ac:dyDescent="0.25">
      <c r="A293" s="393" t="s">
        <v>52</v>
      </c>
      <c r="B293" s="156" t="s">
        <v>555</v>
      </c>
      <c r="C293" s="604" t="s">
        <v>65</v>
      </c>
      <c r="D293" s="27">
        <f>'Функц. 2025-2027'!F256</f>
        <v>340</v>
      </c>
      <c r="E293" s="27">
        <f>'Функц. 2025-2027'!H256</f>
        <v>340</v>
      </c>
      <c r="F293" s="27">
        <f>'Функц. 2025-2027'!J256</f>
        <v>340</v>
      </c>
      <c r="G293" s="152"/>
    </row>
    <row r="294" spans="1:7" s="134" customFormat="1" ht="47.25" x14ac:dyDescent="0.25">
      <c r="A294" s="451" t="s">
        <v>726</v>
      </c>
      <c r="B294" s="156" t="s">
        <v>556</v>
      </c>
      <c r="C294" s="525"/>
      <c r="D294" s="27">
        <f>D295</f>
        <v>127</v>
      </c>
      <c r="E294" s="27">
        <f t="shared" ref="E294:F296" si="89">E295</f>
        <v>227</v>
      </c>
      <c r="F294" s="27">
        <f t="shared" si="89"/>
        <v>227</v>
      </c>
      <c r="G294" s="152"/>
    </row>
    <row r="295" spans="1:7" s="134" customFormat="1" ht="33.75" customHeight="1" x14ac:dyDescent="0.25">
      <c r="A295" s="523" t="s">
        <v>754</v>
      </c>
      <c r="B295" s="156" t="s">
        <v>557</v>
      </c>
      <c r="C295" s="525"/>
      <c r="D295" s="27">
        <f>D296</f>
        <v>127</v>
      </c>
      <c r="E295" s="27">
        <f t="shared" si="89"/>
        <v>227</v>
      </c>
      <c r="F295" s="27">
        <f t="shared" si="89"/>
        <v>227</v>
      </c>
      <c r="G295" s="152"/>
    </row>
    <row r="296" spans="1:7" s="134" customFormat="1" x14ac:dyDescent="0.25">
      <c r="A296" s="523" t="s">
        <v>120</v>
      </c>
      <c r="B296" s="156" t="s">
        <v>557</v>
      </c>
      <c r="C296" s="525" t="s">
        <v>37</v>
      </c>
      <c r="D296" s="27">
        <f>D297</f>
        <v>127</v>
      </c>
      <c r="E296" s="27">
        <f t="shared" si="89"/>
        <v>227</v>
      </c>
      <c r="F296" s="27">
        <f t="shared" si="89"/>
        <v>227</v>
      </c>
      <c r="G296" s="152"/>
    </row>
    <row r="297" spans="1:7" s="134" customFormat="1" x14ac:dyDescent="0.25">
      <c r="A297" s="523" t="s">
        <v>52</v>
      </c>
      <c r="B297" s="156" t="s">
        <v>557</v>
      </c>
      <c r="C297" s="525" t="s">
        <v>65</v>
      </c>
      <c r="D297" s="27">
        <f>'Функц. 2025-2027'!F260</f>
        <v>127</v>
      </c>
      <c r="E297" s="27">
        <f>'Функц. 2025-2027'!H260</f>
        <v>227</v>
      </c>
      <c r="F297" s="27">
        <f>'Функц. 2025-2027'!J260</f>
        <v>227</v>
      </c>
      <c r="G297" s="152"/>
    </row>
    <row r="298" spans="1:7" s="134" customFormat="1" ht="31.5" x14ac:dyDescent="0.25">
      <c r="A298" s="275" t="s">
        <v>583</v>
      </c>
      <c r="B298" s="156" t="s">
        <v>103</v>
      </c>
      <c r="C298" s="407"/>
      <c r="D298" s="27">
        <f>D299+D307+D303</f>
        <v>1278.4000000000001</v>
      </c>
      <c r="E298" s="517">
        <f t="shared" ref="E298:F298" si="90">E299+E307+E303</f>
        <v>1177</v>
      </c>
      <c r="F298" s="517">
        <f t="shared" si="90"/>
        <v>1177</v>
      </c>
      <c r="G298" s="152"/>
    </row>
    <row r="299" spans="1:7" s="134" customFormat="1" ht="63" x14ac:dyDescent="0.25">
      <c r="A299" s="277" t="s">
        <v>585</v>
      </c>
      <c r="B299" s="156" t="s">
        <v>124</v>
      </c>
      <c r="C299" s="407"/>
      <c r="D299" s="27">
        <f t="shared" ref="D299:F301" si="91">D300</f>
        <v>728.4</v>
      </c>
      <c r="E299" s="27">
        <f t="shared" si="91"/>
        <v>727</v>
      </c>
      <c r="F299" s="27">
        <f t="shared" si="91"/>
        <v>727</v>
      </c>
      <c r="G299" s="152"/>
    </row>
    <row r="300" spans="1:7" s="134" customFormat="1" ht="31.5" x14ac:dyDescent="0.25">
      <c r="A300" s="277" t="s">
        <v>174</v>
      </c>
      <c r="B300" s="156" t="s">
        <v>175</v>
      </c>
      <c r="C300" s="407"/>
      <c r="D300" s="27">
        <f t="shared" si="91"/>
        <v>728.4</v>
      </c>
      <c r="E300" s="27">
        <f t="shared" si="91"/>
        <v>727</v>
      </c>
      <c r="F300" s="27">
        <f t="shared" si="91"/>
        <v>727</v>
      </c>
      <c r="G300" s="152"/>
    </row>
    <row r="301" spans="1:7" s="134" customFormat="1" x14ac:dyDescent="0.25">
      <c r="A301" s="273" t="s">
        <v>120</v>
      </c>
      <c r="B301" s="156" t="s">
        <v>175</v>
      </c>
      <c r="C301" s="407">
        <v>200</v>
      </c>
      <c r="D301" s="27">
        <f t="shared" si="91"/>
        <v>728.4</v>
      </c>
      <c r="E301" s="27">
        <f t="shared" si="91"/>
        <v>727</v>
      </c>
      <c r="F301" s="27">
        <f t="shared" si="91"/>
        <v>727</v>
      </c>
      <c r="G301" s="152"/>
    </row>
    <row r="302" spans="1:7" s="134" customFormat="1" x14ac:dyDescent="0.25">
      <c r="A302" s="273" t="s">
        <v>52</v>
      </c>
      <c r="B302" s="156" t="s">
        <v>175</v>
      </c>
      <c r="C302" s="407">
        <v>240</v>
      </c>
      <c r="D302" s="27">
        <f>'Функц. 2025-2027'!F241</f>
        <v>728.4</v>
      </c>
      <c r="E302" s="27">
        <f>'Функц. 2025-2027'!H241</f>
        <v>727</v>
      </c>
      <c r="F302" s="27">
        <f>'Функц. 2025-2027'!J241</f>
        <v>727</v>
      </c>
      <c r="G302" s="152"/>
    </row>
    <row r="303" spans="1:7" s="513" customFormat="1" ht="31.5" x14ac:dyDescent="0.25">
      <c r="A303" s="451" t="s">
        <v>678</v>
      </c>
      <c r="B303" s="613" t="s">
        <v>729</v>
      </c>
      <c r="C303" s="456"/>
      <c r="D303" s="517">
        <f>D304</f>
        <v>100</v>
      </c>
      <c r="E303" s="517">
        <f t="shared" ref="E303:F305" si="92">E304</f>
        <v>0</v>
      </c>
      <c r="F303" s="517">
        <f t="shared" si="92"/>
        <v>0</v>
      </c>
      <c r="G303" s="520"/>
    </row>
    <row r="304" spans="1:7" s="513" customFormat="1" ht="31.5" x14ac:dyDescent="0.25">
      <c r="A304" s="451" t="s">
        <v>679</v>
      </c>
      <c r="B304" s="613" t="s">
        <v>680</v>
      </c>
      <c r="C304" s="456"/>
      <c r="D304" s="517">
        <f>D305</f>
        <v>100</v>
      </c>
      <c r="E304" s="517">
        <f t="shared" si="92"/>
        <v>0</v>
      </c>
      <c r="F304" s="517">
        <f t="shared" si="92"/>
        <v>0</v>
      </c>
      <c r="G304" s="520"/>
    </row>
    <row r="305" spans="1:7" s="513" customFormat="1" x14ac:dyDescent="0.25">
      <c r="A305" s="451" t="s">
        <v>120</v>
      </c>
      <c r="B305" s="613" t="s">
        <v>680</v>
      </c>
      <c r="C305" s="456">
        <v>200</v>
      </c>
      <c r="D305" s="517">
        <f>D306</f>
        <v>100</v>
      </c>
      <c r="E305" s="517">
        <f t="shared" si="92"/>
        <v>0</v>
      </c>
      <c r="F305" s="517">
        <f t="shared" si="92"/>
        <v>0</v>
      </c>
      <c r="G305" s="520"/>
    </row>
    <row r="306" spans="1:7" s="513" customFormat="1" x14ac:dyDescent="0.25">
      <c r="A306" s="523" t="s">
        <v>52</v>
      </c>
      <c r="B306" s="613" t="s">
        <v>680</v>
      </c>
      <c r="C306" s="456">
        <v>240</v>
      </c>
      <c r="D306" s="517">
        <f>'Функц. 2025-2027'!F245</f>
        <v>100</v>
      </c>
      <c r="E306" s="517">
        <f>'Функц. 2025-2027'!H245</f>
        <v>0</v>
      </c>
      <c r="F306" s="517">
        <f>'Функц. 2025-2027'!J245</f>
        <v>0</v>
      </c>
      <c r="G306" s="520"/>
    </row>
    <row r="307" spans="1:7" s="134" customFormat="1" ht="47.25" x14ac:dyDescent="0.25">
      <c r="A307" s="257" t="s">
        <v>559</v>
      </c>
      <c r="B307" s="156" t="s">
        <v>558</v>
      </c>
      <c r="C307" s="525"/>
      <c r="D307" s="27">
        <f t="shared" ref="D307:F309" si="93">D308</f>
        <v>450</v>
      </c>
      <c r="E307" s="27">
        <f t="shared" si="93"/>
        <v>450</v>
      </c>
      <c r="F307" s="27">
        <f t="shared" si="93"/>
        <v>450</v>
      </c>
      <c r="G307" s="152"/>
    </row>
    <row r="308" spans="1:7" s="134" customFormat="1" ht="31.5" x14ac:dyDescent="0.25">
      <c r="A308" s="258" t="s">
        <v>560</v>
      </c>
      <c r="B308" s="156" t="s">
        <v>561</v>
      </c>
      <c r="C308" s="525"/>
      <c r="D308" s="27">
        <f t="shared" si="93"/>
        <v>450</v>
      </c>
      <c r="E308" s="27">
        <f t="shared" si="93"/>
        <v>450</v>
      </c>
      <c r="F308" s="27">
        <f t="shared" si="93"/>
        <v>450</v>
      </c>
      <c r="G308" s="152"/>
    </row>
    <row r="309" spans="1:7" s="134" customFormat="1" x14ac:dyDescent="0.25">
      <c r="A309" s="523" t="s">
        <v>120</v>
      </c>
      <c r="B309" s="156" t="s">
        <v>561</v>
      </c>
      <c r="C309" s="525" t="s">
        <v>37</v>
      </c>
      <c r="D309" s="27">
        <f t="shared" si="93"/>
        <v>450</v>
      </c>
      <c r="E309" s="27">
        <f t="shared" si="93"/>
        <v>450</v>
      </c>
      <c r="F309" s="27">
        <f t="shared" si="93"/>
        <v>450</v>
      </c>
      <c r="G309" s="152"/>
    </row>
    <row r="310" spans="1:7" s="134" customFormat="1" x14ac:dyDescent="0.25">
      <c r="A310" s="523" t="s">
        <v>52</v>
      </c>
      <c r="B310" s="156" t="s">
        <v>561</v>
      </c>
      <c r="C310" s="525" t="s">
        <v>65</v>
      </c>
      <c r="D310" s="27">
        <f>'Функц. 2025-2027'!F249</f>
        <v>450</v>
      </c>
      <c r="E310" s="27">
        <f>'Функц. 2025-2027'!H249</f>
        <v>450</v>
      </c>
      <c r="F310" s="27">
        <f>'Функц. 2025-2027'!J249</f>
        <v>450</v>
      </c>
      <c r="G310" s="152"/>
    </row>
    <row r="311" spans="1:7" s="134" customFormat="1" ht="31.5" x14ac:dyDescent="0.25">
      <c r="A311" s="255" t="s">
        <v>357</v>
      </c>
      <c r="B311" s="156" t="s">
        <v>104</v>
      </c>
      <c r="C311" s="444"/>
      <c r="D311" s="27">
        <f t="shared" ref="D311:F314" si="94">D312</f>
        <v>698</v>
      </c>
      <c r="E311" s="27">
        <f t="shared" si="94"/>
        <v>694</v>
      </c>
      <c r="F311" s="27">
        <f t="shared" si="94"/>
        <v>694</v>
      </c>
      <c r="G311" s="152"/>
    </row>
    <row r="312" spans="1:7" s="134" customFormat="1" ht="31.5" x14ac:dyDescent="0.25">
      <c r="A312" s="277" t="s">
        <v>562</v>
      </c>
      <c r="B312" s="156" t="s">
        <v>125</v>
      </c>
      <c r="C312" s="525"/>
      <c r="D312" s="27">
        <f>D313+D316</f>
        <v>698</v>
      </c>
      <c r="E312" s="517">
        <f t="shared" ref="E312:F312" si="95">E313+E316</f>
        <v>694</v>
      </c>
      <c r="F312" s="517">
        <f t="shared" si="95"/>
        <v>694</v>
      </c>
      <c r="G312" s="152"/>
    </row>
    <row r="313" spans="1:7" s="134" customFormat="1" ht="31.5" x14ac:dyDescent="0.25">
      <c r="A313" s="273" t="s">
        <v>755</v>
      </c>
      <c r="B313" s="156" t="s">
        <v>173</v>
      </c>
      <c r="C313" s="444"/>
      <c r="D313" s="27">
        <f>D314</f>
        <v>359.5</v>
      </c>
      <c r="E313" s="517">
        <f t="shared" si="94"/>
        <v>355.5</v>
      </c>
      <c r="F313" s="517">
        <f t="shared" si="94"/>
        <v>435</v>
      </c>
      <c r="G313" s="152"/>
    </row>
    <row r="314" spans="1:7" s="134" customFormat="1" x14ac:dyDescent="0.25">
      <c r="A314" s="273" t="s">
        <v>120</v>
      </c>
      <c r="B314" s="156" t="s">
        <v>173</v>
      </c>
      <c r="C314" s="525" t="s">
        <v>37</v>
      </c>
      <c r="D314" s="27">
        <f t="shared" si="94"/>
        <v>359.5</v>
      </c>
      <c r="E314" s="27">
        <f t="shared" si="94"/>
        <v>355.5</v>
      </c>
      <c r="F314" s="27">
        <f t="shared" si="94"/>
        <v>435</v>
      </c>
      <c r="G314" s="152"/>
    </row>
    <row r="315" spans="1:7" s="134" customFormat="1" x14ac:dyDescent="0.25">
      <c r="A315" s="273" t="s">
        <v>52</v>
      </c>
      <c r="B315" s="156" t="s">
        <v>173</v>
      </c>
      <c r="C315" s="525" t="s">
        <v>65</v>
      </c>
      <c r="D315" s="27">
        <f>'Функц. 2025-2027'!F265</f>
        <v>359.5</v>
      </c>
      <c r="E315" s="27">
        <f>'Функц. 2025-2027'!H265</f>
        <v>355.5</v>
      </c>
      <c r="F315" s="27">
        <f>'Функц. 2025-2027'!J265</f>
        <v>435</v>
      </c>
      <c r="G315" s="152"/>
    </row>
    <row r="316" spans="1:7" s="513" customFormat="1" ht="31.5" x14ac:dyDescent="0.25">
      <c r="A316" s="523" t="s">
        <v>60</v>
      </c>
      <c r="B316" s="156" t="s">
        <v>173</v>
      </c>
      <c r="C316" s="525" t="s">
        <v>387</v>
      </c>
      <c r="D316" s="517">
        <f>D317</f>
        <v>338.5</v>
      </c>
      <c r="E316" s="517">
        <f t="shared" ref="E316:F316" si="96">E317</f>
        <v>338.5</v>
      </c>
      <c r="F316" s="517">
        <f t="shared" si="96"/>
        <v>259</v>
      </c>
      <c r="G316" s="520"/>
    </row>
    <row r="317" spans="1:7" s="513" customFormat="1" x14ac:dyDescent="0.25">
      <c r="A317" s="523" t="s">
        <v>61</v>
      </c>
      <c r="B317" s="156" t="s">
        <v>173</v>
      </c>
      <c r="C317" s="525" t="s">
        <v>388</v>
      </c>
      <c r="D317" s="517">
        <f>'Функц. 2025-2027'!F267</f>
        <v>338.5</v>
      </c>
      <c r="E317" s="517">
        <f>'Функц. 2025-2027'!H267</f>
        <v>338.5</v>
      </c>
      <c r="F317" s="517">
        <f>'Функц. 2025-2027'!J267</f>
        <v>259</v>
      </c>
      <c r="G317" s="520"/>
    </row>
    <row r="318" spans="1:7" s="134" customFormat="1" ht="31.5" x14ac:dyDescent="0.25">
      <c r="A318" s="523" t="s">
        <v>563</v>
      </c>
      <c r="B318" s="156" t="s">
        <v>108</v>
      </c>
      <c r="C318" s="525"/>
      <c r="D318" s="27">
        <f t="shared" ref="D318:F319" si="97">D319</f>
        <v>870</v>
      </c>
      <c r="E318" s="27">
        <f t="shared" si="97"/>
        <v>770</v>
      </c>
      <c r="F318" s="27">
        <f t="shared" si="97"/>
        <v>770</v>
      </c>
      <c r="G318" s="152"/>
    </row>
    <row r="319" spans="1:7" s="134" customFormat="1" ht="31.5" x14ac:dyDescent="0.25">
      <c r="A319" s="523" t="s">
        <v>564</v>
      </c>
      <c r="B319" s="156" t="s">
        <v>565</v>
      </c>
      <c r="C319" s="525"/>
      <c r="D319" s="27">
        <f t="shared" si="97"/>
        <v>870</v>
      </c>
      <c r="E319" s="27">
        <f t="shared" si="97"/>
        <v>770</v>
      </c>
      <c r="F319" s="27">
        <f t="shared" si="97"/>
        <v>770</v>
      </c>
      <c r="G319" s="152"/>
    </row>
    <row r="320" spans="1:7" s="134" customFormat="1" ht="31.5" x14ac:dyDescent="0.25">
      <c r="A320" s="523" t="s">
        <v>172</v>
      </c>
      <c r="B320" s="156" t="s">
        <v>566</v>
      </c>
      <c r="C320" s="525"/>
      <c r="D320" s="27">
        <f>D323+D321</f>
        <v>870</v>
      </c>
      <c r="E320" s="517">
        <f t="shared" ref="E320:F320" si="98">E323+E321</f>
        <v>770</v>
      </c>
      <c r="F320" s="517">
        <f t="shared" si="98"/>
        <v>770</v>
      </c>
      <c r="G320" s="152"/>
    </row>
    <row r="321" spans="1:7" s="513" customFormat="1" x14ac:dyDescent="0.25">
      <c r="A321" s="451" t="s">
        <v>120</v>
      </c>
      <c r="B321" s="156" t="s">
        <v>566</v>
      </c>
      <c r="C321" s="525" t="s">
        <v>37</v>
      </c>
      <c r="D321" s="517">
        <f>D322</f>
        <v>100</v>
      </c>
      <c r="E321" s="517">
        <f t="shared" ref="E321:F321" si="99">E322</f>
        <v>0</v>
      </c>
      <c r="F321" s="517">
        <f t="shared" si="99"/>
        <v>0</v>
      </c>
      <c r="G321" s="520"/>
    </row>
    <row r="322" spans="1:7" s="513" customFormat="1" x14ac:dyDescent="0.25">
      <c r="A322" s="451" t="s">
        <v>52</v>
      </c>
      <c r="B322" s="156" t="s">
        <v>566</v>
      </c>
      <c r="C322" s="525" t="s">
        <v>65</v>
      </c>
      <c r="D322" s="517">
        <f>'Функц. 2025-2027'!F272</f>
        <v>100</v>
      </c>
      <c r="E322" s="517">
        <f>'Функц. 2025-2027'!H272</f>
        <v>0</v>
      </c>
      <c r="F322" s="517">
        <f>'Функц. 2025-2027'!J272</f>
        <v>0</v>
      </c>
      <c r="G322" s="520"/>
    </row>
    <row r="323" spans="1:7" s="134" customFormat="1" ht="31.5" x14ac:dyDescent="0.25">
      <c r="A323" s="523" t="s">
        <v>60</v>
      </c>
      <c r="B323" s="156" t="s">
        <v>566</v>
      </c>
      <c r="C323" s="525" t="s">
        <v>387</v>
      </c>
      <c r="D323" s="27">
        <f>D324</f>
        <v>770</v>
      </c>
      <c r="E323" s="27">
        <f>E324</f>
        <v>770</v>
      </c>
      <c r="F323" s="27">
        <f>F324</f>
        <v>770</v>
      </c>
      <c r="G323" s="152"/>
    </row>
    <row r="324" spans="1:7" s="134" customFormat="1" x14ac:dyDescent="0.25">
      <c r="A324" s="523" t="s">
        <v>61</v>
      </c>
      <c r="B324" s="156" t="s">
        <v>566</v>
      </c>
      <c r="C324" s="525" t="s">
        <v>388</v>
      </c>
      <c r="D324" s="27">
        <f>'Функц. 2025-2027'!F274</f>
        <v>770</v>
      </c>
      <c r="E324" s="27">
        <f>'Функц. 2025-2027'!H274</f>
        <v>770</v>
      </c>
      <c r="F324" s="27">
        <f>'Функц. 2025-2027'!J274</f>
        <v>770</v>
      </c>
      <c r="G324" s="152"/>
    </row>
    <row r="325" spans="1:7" s="134" customFormat="1" x14ac:dyDescent="0.25">
      <c r="A325" s="277" t="s">
        <v>48</v>
      </c>
      <c r="B325" s="156" t="s">
        <v>105</v>
      </c>
      <c r="C325" s="525"/>
      <c r="D325" s="27">
        <f t="shared" ref="D325:F326" si="100">D326</f>
        <v>27231.8</v>
      </c>
      <c r="E325" s="27">
        <f t="shared" si="100"/>
        <v>9650</v>
      </c>
      <c r="F325" s="27">
        <f t="shared" si="100"/>
        <v>9686</v>
      </c>
      <c r="G325" s="152"/>
    </row>
    <row r="326" spans="1:7" s="134" customFormat="1" ht="31.5" x14ac:dyDescent="0.25">
      <c r="A326" s="277" t="s">
        <v>269</v>
      </c>
      <c r="B326" s="156" t="s">
        <v>351</v>
      </c>
      <c r="C326" s="525"/>
      <c r="D326" s="27">
        <f t="shared" si="100"/>
        <v>27231.8</v>
      </c>
      <c r="E326" s="27">
        <f t="shared" si="100"/>
        <v>9650</v>
      </c>
      <c r="F326" s="27">
        <f t="shared" si="100"/>
        <v>9686</v>
      </c>
      <c r="G326" s="152"/>
    </row>
    <row r="327" spans="1:7" s="134" customFormat="1" x14ac:dyDescent="0.25">
      <c r="A327" s="277" t="s">
        <v>176</v>
      </c>
      <c r="B327" s="156" t="s">
        <v>177</v>
      </c>
      <c r="C327" s="525"/>
      <c r="D327" s="27">
        <f>D328+D330</f>
        <v>27231.8</v>
      </c>
      <c r="E327" s="27">
        <f>E328+E330</f>
        <v>9650</v>
      </c>
      <c r="F327" s="27">
        <f>F328+F330</f>
        <v>9686</v>
      </c>
      <c r="G327" s="152"/>
    </row>
    <row r="328" spans="1:7" s="134" customFormat="1" ht="47.25" x14ac:dyDescent="0.25">
      <c r="A328" s="273" t="s">
        <v>150</v>
      </c>
      <c r="B328" s="156" t="s">
        <v>177</v>
      </c>
      <c r="C328" s="525" t="s">
        <v>127</v>
      </c>
      <c r="D328" s="27">
        <f>D329</f>
        <v>25165.599999999999</v>
      </c>
      <c r="E328" s="27">
        <f>E329</f>
        <v>7883.8</v>
      </c>
      <c r="F328" s="27">
        <f>F329</f>
        <v>7919.8</v>
      </c>
      <c r="G328" s="152"/>
    </row>
    <row r="329" spans="1:7" s="134" customFormat="1" x14ac:dyDescent="0.25">
      <c r="A329" s="273" t="s">
        <v>68</v>
      </c>
      <c r="B329" s="156" t="s">
        <v>177</v>
      </c>
      <c r="C329" s="525" t="s">
        <v>128</v>
      </c>
      <c r="D329" s="27">
        <f>'Функц. 2025-2027'!F279</f>
        <v>25165.599999999999</v>
      </c>
      <c r="E329" s="27">
        <f>'Функц. 2025-2027'!H279</f>
        <v>7883.8</v>
      </c>
      <c r="F329" s="27">
        <f>'Функц. 2025-2027'!J279</f>
        <v>7919.8</v>
      </c>
      <c r="G329" s="152"/>
    </row>
    <row r="330" spans="1:7" s="134" customFormat="1" x14ac:dyDescent="0.25">
      <c r="A330" s="523" t="s">
        <v>120</v>
      </c>
      <c r="B330" s="156" t="s">
        <v>177</v>
      </c>
      <c r="C330" s="430" t="s">
        <v>37</v>
      </c>
      <c r="D330" s="27">
        <f>D331</f>
        <v>2066.1999999999998</v>
      </c>
      <c r="E330" s="27">
        <f>E331</f>
        <v>1766.2</v>
      </c>
      <c r="F330" s="27">
        <f>F331</f>
        <v>1766.2</v>
      </c>
      <c r="G330" s="152"/>
    </row>
    <row r="331" spans="1:7" s="134" customFormat="1" x14ac:dyDescent="0.25">
      <c r="A331" s="523" t="s">
        <v>52</v>
      </c>
      <c r="B331" s="156" t="s">
        <v>177</v>
      </c>
      <c r="C331" s="430" t="s">
        <v>65</v>
      </c>
      <c r="D331" s="27">
        <f>'Функц. 2025-2027'!F281</f>
        <v>2066.1999999999998</v>
      </c>
      <c r="E331" s="27">
        <f>'Функц. 2025-2027'!H281</f>
        <v>1766.2</v>
      </c>
      <c r="F331" s="27">
        <f>'Функц. 2025-2027'!J281</f>
        <v>1766.2</v>
      </c>
      <c r="G331" s="152"/>
    </row>
    <row r="332" spans="1:7" s="134" customFormat="1" x14ac:dyDescent="0.25">
      <c r="A332" s="395" t="s">
        <v>181</v>
      </c>
      <c r="B332" s="615" t="s">
        <v>116</v>
      </c>
      <c r="C332" s="601"/>
      <c r="D332" s="30">
        <f>D333+D341+D346</f>
        <v>30960.3</v>
      </c>
      <c r="E332" s="518">
        <f>E333+E341+E346</f>
        <v>32720.400000000001</v>
      </c>
      <c r="F332" s="518">
        <f>F333+F341+F346</f>
        <v>30120.5</v>
      </c>
      <c r="G332" s="152"/>
    </row>
    <row r="333" spans="1:7" x14ac:dyDescent="0.25">
      <c r="A333" s="275" t="s">
        <v>180</v>
      </c>
      <c r="B333" s="156" t="s">
        <v>143</v>
      </c>
      <c r="C333" s="444"/>
      <c r="D333" s="27">
        <f>D334</f>
        <v>16279.3</v>
      </c>
      <c r="E333" s="27">
        <f>E334</f>
        <v>29730.400000000001</v>
      </c>
      <c r="F333" s="27">
        <f>F334</f>
        <v>30120.5</v>
      </c>
      <c r="G333" s="152"/>
    </row>
    <row r="334" spans="1:7" ht="47.25" x14ac:dyDescent="0.25">
      <c r="A334" s="275" t="s">
        <v>425</v>
      </c>
      <c r="B334" s="156" t="s">
        <v>142</v>
      </c>
      <c r="C334" s="444"/>
      <c r="D334" s="27">
        <f>D338+D335</f>
        <v>16279.3</v>
      </c>
      <c r="E334" s="517">
        <f t="shared" ref="E334:F334" si="101">E338+E335</f>
        <v>29730.400000000001</v>
      </c>
      <c r="F334" s="517">
        <f t="shared" si="101"/>
        <v>30120.5</v>
      </c>
      <c r="G334" s="152"/>
    </row>
    <row r="335" spans="1:7" s="519" customFormat="1" ht="31.5" x14ac:dyDescent="0.25">
      <c r="A335" s="457" t="s">
        <v>835</v>
      </c>
      <c r="B335" s="542" t="s">
        <v>836</v>
      </c>
      <c r="C335" s="454"/>
      <c r="D335" s="517">
        <f>D336</f>
        <v>561.29999999999995</v>
      </c>
      <c r="E335" s="517">
        <f t="shared" ref="E335:F335" si="102">E336</f>
        <v>0</v>
      </c>
      <c r="F335" s="517">
        <f t="shared" si="102"/>
        <v>0</v>
      </c>
      <c r="G335" s="520"/>
    </row>
    <row r="336" spans="1:7" s="519" customFormat="1" x14ac:dyDescent="0.25">
      <c r="A336" s="451" t="s">
        <v>97</v>
      </c>
      <c r="B336" s="542" t="s">
        <v>836</v>
      </c>
      <c r="C336" s="454">
        <v>300</v>
      </c>
      <c r="D336" s="517">
        <f>D337</f>
        <v>561.29999999999995</v>
      </c>
      <c r="E336" s="517">
        <f t="shared" ref="E336:F336" si="103">E337</f>
        <v>0</v>
      </c>
      <c r="F336" s="517">
        <f t="shared" si="103"/>
        <v>0</v>
      </c>
      <c r="G336" s="520"/>
    </row>
    <row r="337" spans="1:30" s="519" customFormat="1" x14ac:dyDescent="0.25">
      <c r="A337" s="451" t="s">
        <v>24</v>
      </c>
      <c r="B337" s="542" t="s">
        <v>836</v>
      </c>
      <c r="C337" s="454">
        <v>320</v>
      </c>
      <c r="D337" s="517">
        <f>'Функц. 2025-2027'!F855</f>
        <v>561.29999999999995</v>
      </c>
      <c r="E337" s="517">
        <f>'Функц. 2025-2027'!H855</f>
        <v>0</v>
      </c>
      <c r="F337" s="517">
        <f>'Функц. 2025-2027'!J855</f>
        <v>0</v>
      </c>
      <c r="G337" s="520"/>
    </row>
    <row r="338" spans="1:30" x14ac:dyDescent="0.25">
      <c r="A338" s="275" t="s">
        <v>178</v>
      </c>
      <c r="B338" s="156" t="s">
        <v>179</v>
      </c>
      <c r="C338" s="444"/>
      <c r="D338" s="27">
        <f t="shared" ref="D338:F339" si="104">D339</f>
        <v>15718</v>
      </c>
      <c r="E338" s="27">
        <f t="shared" si="104"/>
        <v>29730.400000000001</v>
      </c>
      <c r="F338" s="27">
        <f t="shared" si="104"/>
        <v>30120.5</v>
      </c>
      <c r="G338" s="152"/>
    </row>
    <row r="339" spans="1:30" x14ac:dyDescent="0.25">
      <c r="A339" s="273" t="s">
        <v>97</v>
      </c>
      <c r="B339" s="156" t="s">
        <v>179</v>
      </c>
      <c r="C339" s="444">
        <v>300</v>
      </c>
      <c r="D339" s="27">
        <f t="shared" si="104"/>
        <v>15718</v>
      </c>
      <c r="E339" s="27">
        <f t="shared" si="104"/>
        <v>29730.400000000001</v>
      </c>
      <c r="F339" s="27">
        <f t="shared" si="104"/>
        <v>30120.5</v>
      </c>
      <c r="G339" s="152"/>
    </row>
    <row r="340" spans="1:30" x14ac:dyDescent="0.25">
      <c r="A340" s="273" t="s">
        <v>24</v>
      </c>
      <c r="B340" s="156" t="s">
        <v>179</v>
      </c>
      <c r="C340" s="444">
        <v>320</v>
      </c>
      <c r="D340" s="27">
        <f>'Функц. 2025-2027'!F858</f>
        <v>15718</v>
      </c>
      <c r="E340" s="27">
        <f>'Функц. 2025-2027'!H858</f>
        <v>29730.400000000001</v>
      </c>
      <c r="F340" s="27">
        <f>'Функц. 2025-2027'!J858</f>
        <v>30120.5</v>
      </c>
      <c r="G340" s="152"/>
    </row>
    <row r="341" spans="1:30" ht="31.5" x14ac:dyDescent="0.25">
      <c r="A341" s="376" t="s">
        <v>439</v>
      </c>
      <c r="B341" s="156" t="s">
        <v>146</v>
      </c>
      <c r="C341" s="605"/>
      <c r="D341" s="27">
        <f>D342</f>
        <v>14681</v>
      </c>
      <c r="E341" s="27">
        <f>E342</f>
        <v>0</v>
      </c>
      <c r="F341" s="27">
        <f>F342</f>
        <v>0</v>
      </c>
      <c r="G341" s="152"/>
    </row>
    <row r="342" spans="1:30" ht="47.25" x14ac:dyDescent="0.25">
      <c r="A342" s="376" t="s">
        <v>440</v>
      </c>
      <c r="B342" s="156" t="s">
        <v>145</v>
      </c>
      <c r="C342" s="444"/>
      <c r="D342" s="27">
        <f>D343</f>
        <v>14681</v>
      </c>
      <c r="E342" s="517">
        <f t="shared" ref="E342:F342" si="105">E343</f>
        <v>0</v>
      </c>
      <c r="F342" s="517">
        <f t="shared" si="105"/>
        <v>0</v>
      </c>
      <c r="G342" s="152"/>
    </row>
    <row r="343" spans="1:30" ht="31.5" x14ac:dyDescent="0.25">
      <c r="A343" s="275" t="s">
        <v>617</v>
      </c>
      <c r="B343" s="156" t="s">
        <v>144</v>
      </c>
      <c r="C343" s="444"/>
      <c r="D343" s="27">
        <f t="shared" ref="D343:F344" si="106">D344</f>
        <v>14681</v>
      </c>
      <c r="E343" s="27">
        <f t="shared" si="106"/>
        <v>0</v>
      </c>
      <c r="F343" s="27">
        <f t="shared" si="106"/>
        <v>0</v>
      </c>
      <c r="G343" s="152"/>
    </row>
    <row r="344" spans="1:30" x14ac:dyDescent="0.25">
      <c r="A344" s="398" t="s">
        <v>23</v>
      </c>
      <c r="B344" s="279" t="s">
        <v>144</v>
      </c>
      <c r="C344" s="444">
        <v>400</v>
      </c>
      <c r="D344" s="27">
        <f t="shared" si="106"/>
        <v>14681</v>
      </c>
      <c r="E344" s="27">
        <f t="shared" si="106"/>
        <v>0</v>
      </c>
      <c r="F344" s="27">
        <f t="shared" si="106"/>
        <v>0</v>
      </c>
      <c r="G344" s="152"/>
    </row>
    <row r="345" spans="1:30" x14ac:dyDescent="0.25">
      <c r="A345" s="273" t="s">
        <v>9</v>
      </c>
      <c r="B345" s="279" t="s">
        <v>144</v>
      </c>
      <c r="C345" s="444">
        <v>410</v>
      </c>
      <c r="D345" s="27">
        <f>'Функц. 2025-2027'!F863</f>
        <v>14681</v>
      </c>
      <c r="E345" s="27">
        <f>'Функц. 2025-2027'!H863</f>
        <v>0</v>
      </c>
      <c r="F345" s="27">
        <f>'Функц. 2025-2027'!J863</f>
        <v>0</v>
      </c>
      <c r="G345" s="152"/>
    </row>
    <row r="346" spans="1:30" s="519" customFormat="1" ht="31.5" x14ac:dyDescent="0.25">
      <c r="A346" s="451" t="s">
        <v>671</v>
      </c>
      <c r="B346" s="613" t="s">
        <v>672</v>
      </c>
      <c r="C346" s="460"/>
      <c r="D346" s="517">
        <f>D347</f>
        <v>0</v>
      </c>
      <c r="E346" s="517">
        <f t="shared" ref="E346:F349" si="107">E347</f>
        <v>2990</v>
      </c>
      <c r="F346" s="517">
        <f t="shared" si="107"/>
        <v>0</v>
      </c>
      <c r="G346" s="520"/>
    </row>
    <row r="347" spans="1:30" s="519" customFormat="1" ht="47.25" x14ac:dyDescent="0.25">
      <c r="A347" s="451" t="s">
        <v>674</v>
      </c>
      <c r="B347" s="613" t="s">
        <v>673</v>
      </c>
      <c r="C347" s="460"/>
      <c r="D347" s="517">
        <f>D348</f>
        <v>0</v>
      </c>
      <c r="E347" s="517">
        <f t="shared" si="107"/>
        <v>2990</v>
      </c>
      <c r="F347" s="517">
        <f t="shared" si="107"/>
        <v>0</v>
      </c>
      <c r="G347" s="520"/>
    </row>
    <row r="348" spans="1:30" s="519" customFormat="1" ht="47.25" x14ac:dyDescent="0.25">
      <c r="A348" s="451" t="s">
        <v>676</v>
      </c>
      <c r="B348" s="613" t="s">
        <v>675</v>
      </c>
      <c r="C348" s="460"/>
      <c r="D348" s="517">
        <f>D349</f>
        <v>0</v>
      </c>
      <c r="E348" s="517">
        <f t="shared" si="107"/>
        <v>2990</v>
      </c>
      <c r="F348" s="517">
        <f t="shared" si="107"/>
        <v>0</v>
      </c>
      <c r="G348" s="520"/>
    </row>
    <row r="349" spans="1:30" s="519" customFormat="1" x14ac:dyDescent="0.25">
      <c r="A349" s="451" t="s">
        <v>97</v>
      </c>
      <c r="B349" s="613" t="s">
        <v>675</v>
      </c>
      <c r="C349" s="460">
        <v>300</v>
      </c>
      <c r="D349" s="517">
        <f>D350</f>
        <v>0</v>
      </c>
      <c r="E349" s="517">
        <f t="shared" si="107"/>
        <v>2990</v>
      </c>
      <c r="F349" s="517">
        <f t="shared" si="107"/>
        <v>0</v>
      </c>
      <c r="G349" s="520"/>
    </row>
    <row r="350" spans="1:30" s="519" customFormat="1" x14ac:dyDescent="0.25">
      <c r="A350" s="451" t="s">
        <v>40</v>
      </c>
      <c r="B350" s="613" t="s">
        <v>675</v>
      </c>
      <c r="C350" s="460">
        <v>320</v>
      </c>
      <c r="D350" s="517">
        <f>'Функц. 2025-2027'!F832</f>
        <v>0</v>
      </c>
      <c r="E350" s="517">
        <f>'Функц. 2025-2027'!H832</f>
        <v>2990</v>
      </c>
      <c r="F350" s="517">
        <f>'Функц. 2025-2027'!J832</f>
        <v>0</v>
      </c>
      <c r="G350" s="520"/>
    </row>
    <row r="351" spans="1:30" s="134" customFormat="1" ht="31.5" x14ac:dyDescent="0.25">
      <c r="A351" s="395" t="s">
        <v>587</v>
      </c>
      <c r="B351" s="615" t="s">
        <v>111</v>
      </c>
      <c r="C351" s="444"/>
      <c r="D351" s="30">
        <f>D360+D352+D386</f>
        <v>1756027.7000000002</v>
      </c>
      <c r="E351" s="30">
        <f>E360+E352</f>
        <v>579541.49999999988</v>
      </c>
      <c r="F351" s="30">
        <f>F360+F352</f>
        <v>240743.3</v>
      </c>
      <c r="G351" s="152"/>
    </row>
    <row r="352" spans="1:30" s="134" customFormat="1" x14ac:dyDescent="0.25">
      <c r="A352" s="255" t="s">
        <v>589</v>
      </c>
      <c r="B352" s="156" t="s">
        <v>590</v>
      </c>
      <c r="C352" s="444"/>
      <c r="D352" s="27">
        <f>D353+D357</f>
        <v>824970</v>
      </c>
      <c r="E352" s="517">
        <f t="shared" ref="E352:AD352" si="108">E353+E357</f>
        <v>0</v>
      </c>
      <c r="F352" s="517">
        <f t="shared" si="108"/>
        <v>0</v>
      </c>
      <c r="G352" s="517">
        <f t="shared" si="108"/>
        <v>0</v>
      </c>
      <c r="H352" s="517">
        <f t="shared" si="108"/>
        <v>0</v>
      </c>
      <c r="I352" s="517">
        <f t="shared" si="108"/>
        <v>0</v>
      </c>
      <c r="J352" s="517">
        <f t="shared" si="108"/>
        <v>0</v>
      </c>
      <c r="K352" s="517">
        <f t="shared" si="108"/>
        <v>0</v>
      </c>
      <c r="L352" s="517">
        <f t="shared" si="108"/>
        <v>0</v>
      </c>
      <c r="M352" s="517">
        <f t="shared" si="108"/>
        <v>0</v>
      </c>
      <c r="N352" s="517">
        <f t="shared" si="108"/>
        <v>0</v>
      </c>
      <c r="O352" s="517">
        <f t="shared" si="108"/>
        <v>0</v>
      </c>
      <c r="P352" s="517">
        <f t="shared" si="108"/>
        <v>0</v>
      </c>
      <c r="Q352" s="517">
        <f t="shared" si="108"/>
        <v>0</v>
      </c>
      <c r="R352" s="517">
        <f t="shared" si="108"/>
        <v>0</v>
      </c>
      <c r="S352" s="517">
        <f t="shared" si="108"/>
        <v>0</v>
      </c>
      <c r="T352" s="517">
        <f t="shared" si="108"/>
        <v>0</v>
      </c>
      <c r="U352" s="517">
        <f t="shared" si="108"/>
        <v>0</v>
      </c>
      <c r="V352" s="517">
        <f t="shared" si="108"/>
        <v>0</v>
      </c>
      <c r="W352" s="517">
        <f t="shared" si="108"/>
        <v>0</v>
      </c>
      <c r="X352" s="517">
        <f t="shared" si="108"/>
        <v>0</v>
      </c>
      <c r="Y352" s="517">
        <f t="shared" si="108"/>
        <v>0</v>
      </c>
      <c r="Z352" s="517">
        <f t="shared" si="108"/>
        <v>0</v>
      </c>
      <c r="AA352" s="517">
        <f t="shared" si="108"/>
        <v>0</v>
      </c>
      <c r="AB352" s="517">
        <f t="shared" si="108"/>
        <v>0</v>
      </c>
      <c r="AC352" s="517">
        <f t="shared" si="108"/>
        <v>0</v>
      </c>
      <c r="AD352" s="517">
        <f t="shared" si="108"/>
        <v>0</v>
      </c>
    </row>
    <row r="353" spans="1:7" s="513" customFormat="1" ht="47.25" x14ac:dyDescent="0.25">
      <c r="A353" s="459" t="s">
        <v>760</v>
      </c>
      <c r="B353" s="613" t="s">
        <v>761</v>
      </c>
      <c r="C353" s="460"/>
      <c r="D353" s="517">
        <f>D354</f>
        <v>10</v>
      </c>
      <c r="E353" s="517">
        <f t="shared" ref="E353:F355" si="109">E354</f>
        <v>0</v>
      </c>
      <c r="F353" s="517">
        <f t="shared" si="109"/>
        <v>0</v>
      </c>
      <c r="G353" s="520"/>
    </row>
    <row r="354" spans="1:7" s="513" customFormat="1" ht="20.25" customHeight="1" x14ac:dyDescent="0.25">
      <c r="A354" s="459" t="s">
        <v>758</v>
      </c>
      <c r="B354" s="613" t="s">
        <v>759</v>
      </c>
      <c r="C354" s="460"/>
      <c r="D354" s="517">
        <f>D355</f>
        <v>10</v>
      </c>
      <c r="E354" s="517">
        <f t="shared" si="109"/>
        <v>0</v>
      </c>
      <c r="F354" s="517">
        <f t="shared" si="109"/>
        <v>0</v>
      </c>
      <c r="G354" s="520"/>
    </row>
    <row r="355" spans="1:7" s="513" customFormat="1" x14ac:dyDescent="0.25">
      <c r="A355" s="451" t="s">
        <v>120</v>
      </c>
      <c r="B355" s="613" t="s">
        <v>759</v>
      </c>
      <c r="C355" s="460">
        <v>200</v>
      </c>
      <c r="D355" s="517">
        <f>D356</f>
        <v>10</v>
      </c>
      <c r="E355" s="517">
        <f t="shared" si="109"/>
        <v>0</v>
      </c>
      <c r="F355" s="517">
        <f t="shared" si="109"/>
        <v>0</v>
      </c>
      <c r="G355" s="520"/>
    </row>
    <row r="356" spans="1:7" s="513" customFormat="1" x14ac:dyDescent="0.25">
      <c r="A356" s="451" t="s">
        <v>52</v>
      </c>
      <c r="B356" s="613" t="s">
        <v>759</v>
      </c>
      <c r="C356" s="460">
        <v>240</v>
      </c>
      <c r="D356" s="517">
        <f>'Функц. 2025-2027'!F561</f>
        <v>10</v>
      </c>
      <c r="E356" s="517">
        <f>'Функц. 2025-2027'!H561</f>
        <v>0</v>
      </c>
      <c r="F356" s="517">
        <f>'Функц. 2025-2027'!J561</f>
        <v>0</v>
      </c>
      <c r="G356" s="520"/>
    </row>
    <row r="357" spans="1:7" s="134" customFormat="1" ht="47.25" x14ac:dyDescent="0.25">
      <c r="A357" s="562" t="s">
        <v>778</v>
      </c>
      <c r="B357" s="542" t="s">
        <v>779</v>
      </c>
      <c r="C357" s="525"/>
      <c r="D357" s="27">
        <f>D358</f>
        <v>824960</v>
      </c>
      <c r="E357" s="27">
        <f t="shared" ref="E357:F358" si="110">E358</f>
        <v>0</v>
      </c>
      <c r="F357" s="27">
        <f t="shared" si="110"/>
        <v>0</v>
      </c>
      <c r="G357" s="152"/>
    </row>
    <row r="358" spans="1:7" s="134" customFormat="1" x14ac:dyDescent="0.25">
      <c r="A358" s="379" t="s">
        <v>153</v>
      </c>
      <c r="B358" s="542" t="s">
        <v>779</v>
      </c>
      <c r="C358" s="525" t="s">
        <v>154</v>
      </c>
      <c r="D358" s="27">
        <f>D359</f>
        <v>824960</v>
      </c>
      <c r="E358" s="27">
        <f t="shared" si="110"/>
        <v>0</v>
      </c>
      <c r="F358" s="27">
        <f t="shared" si="110"/>
        <v>0</v>
      </c>
      <c r="G358" s="152"/>
    </row>
    <row r="359" spans="1:7" s="134" customFormat="1" x14ac:dyDescent="0.25">
      <c r="A359" s="523" t="s">
        <v>9</v>
      </c>
      <c r="B359" s="542" t="s">
        <v>779</v>
      </c>
      <c r="C359" s="525" t="s">
        <v>155</v>
      </c>
      <c r="D359" s="27">
        <f>'Функц. 2025-2027'!F564</f>
        <v>824960</v>
      </c>
      <c r="E359" s="27">
        <f>'Функц. 2025-2027'!H564</f>
        <v>0</v>
      </c>
      <c r="F359" s="27">
        <f>'Функц. 2025-2027'!J564</f>
        <v>0</v>
      </c>
      <c r="G359" s="152"/>
    </row>
    <row r="360" spans="1:7" s="134" customFormat="1" x14ac:dyDescent="0.25">
      <c r="A360" s="523" t="s">
        <v>529</v>
      </c>
      <c r="B360" s="156" t="s">
        <v>389</v>
      </c>
      <c r="C360" s="525"/>
      <c r="D360" s="27">
        <f>D361+D379</f>
        <v>909057.70000000007</v>
      </c>
      <c r="E360" s="27">
        <f>E361+E379</f>
        <v>579541.49999999988</v>
      </c>
      <c r="F360" s="27">
        <f>F361+F379</f>
        <v>240743.3</v>
      </c>
      <c r="G360" s="152"/>
    </row>
    <row r="361" spans="1:7" s="134" customFormat="1" ht="31.5" x14ac:dyDescent="0.25">
      <c r="A361" s="523" t="s">
        <v>443</v>
      </c>
      <c r="B361" s="619" t="s">
        <v>442</v>
      </c>
      <c r="C361" s="525"/>
      <c r="D361" s="27">
        <f>D362+D366+D376</f>
        <v>421332.9</v>
      </c>
      <c r="E361" s="517">
        <f>E362+E366+E376</f>
        <v>516554.29999999993</v>
      </c>
      <c r="F361" s="517">
        <f>F362+F366+F376</f>
        <v>240743.3</v>
      </c>
      <c r="G361" s="152"/>
    </row>
    <row r="362" spans="1:7" s="134" customFormat="1" x14ac:dyDescent="0.25">
      <c r="A362" s="478" t="s">
        <v>549</v>
      </c>
      <c r="B362" s="620" t="s">
        <v>648</v>
      </c>
      <c r="C362" s="525"/>
      <c r="D362" s="27">
        <f>D364</f>
        <v>115439.79999999999</v>
      </c>
      <c r="E362" s="27">
        <f>E364</f>
        <v>0</v>
      </c>
      <c r="F362" s="27">
        <f>F364</f>
        <v>0</v>
      </c>
      <c r="G362" s="152"/>
    </row>
    <row r="363" spans="1:7" s="513" customFormat="1" ht="31.5" x14ac:dyDescent="0.25">
      <c r="A363" s="478" t="s">
        <v>721</v>
      </c>
      <c r="B363" s="620" t="s">
        <v>720</v>
      </c>
      <c r="C363" s="525"/>
      <c r="D363" s="517">
        <f>D364</f>
        <v>115439.79999999999</v>
      </c>
      <c r="E363" s="517">
        <f t="shared" ref="E363:F363" si="111">E364</f>
        <v>0</v>
      </c>
      <c r="F363" s="517">
        <f t="shared" si="111"/>
        <v>0</v>
      </c>
      <c r="G363" s="520"/>
    </row>
    <row r="364" spans="1:7" s="134" customFormat="1" x14ac:dyDescent="0.25">
      <c r="A364" s="489" t="s">
        <v>417</v>
      </c>
      <c r="B364" s="620" t="s">
        <v>720</v>
      </c>
      <c r="C364" s="525" t="s">
        <v>154</v>
      </c>
      <c r="D364" s="27">
        <f t="shared" ref="D364:F364" si="112">D365</f>
        <v>115439.79999999999</v>
      </c>
      <c r="E364" s="27">
        <f t="shared" si="112"/>
        <v>0</v>
      </c>
      <c r="F364" s="27">
        <f t="shared" si="112"/>
        <v>0</v>
      </c>
      <c r="G364" s="152"/>
    </row>
    <row r="365" spans="1:7" s="134" customFormat="1" x14ac:dyDescent="0.25">
      <c r="A365" s="451" t="s">
        <v>9</v>
      </c>
      <c r="B365" s="620" t="s">
        <v>720</v>
      </c>
      <c r="C365" s="525" t="s">
        <v>155</v>
      </c>
      <c r="D365" s="27">
        <f>'Функц. 2025-2027'!F404</f>
        <v>115439.79999999999</v>
      </c>
      <c r="E365" s="27">
        <f>'Функц. 2025-2027'!H404</f>
        <v>0</v>
      </c>
      <c r="F365" s="27">
        <f>'Функц. 2025-2027'!J404</f>
        <v>0</v>
      </c>
      <c r="G365" s="152"/>
    </row>
    <row r="366" spans="1:7" s="513" customFormat="1" ht="31.5" x14ac:dyDescent="0.25">
      <c r="A366" s="451" t="s">
        <v>654</v>
      </c>
      <c r="B366" s="620" t="s">
        <v>653</v>
      </c>
      <c r="C366" s="468"/>
      <c r="D366" s="517">
        <f>D367+D370+D373</f>
        <v>621.20000000000005</v>
      </c>
      <c r="E366" s="517">
        <f t="shared" ref="E366:F366" si="113">E367+E370+E373</f>
        <v>295713.39999999997</v>
      </c>
      <c r="F366" s="517">
        <f t="shared" si="113"/>
        <v>240743.3</v>
      </c>
      <c r="G366" s="520"/>
    </row>
    <row r="367" spans="1:7" s="513" customFormat="1" ht="47.25" x14ac:dyDescent="0.25">
      <c r="A367" s="478" t="s">
        <v>718</v>
      </c>
      <c r="B367" s="620" t="s">
        <v>716</v>
      </c>
      <c r="C367" s="468"/>
      <c r="D367" s="517">
        <f>D368</f>
        <v>0</v>
      </c>
      <c r="E367" s="517">
        <f t="shared" ref="E367:F367" si="114">E368</f>
        <v>51481.299999999996</v>
      </c>
      <c r="F367" s="517">
        <f t="shared" si="114"/>
        <v>120123</v>
      </c>
      <c r="G367" s="520"/>
    </row>
    <row r="368" spans="1:7" s="513" customFormat="1" x14ac:dyDescent="0.25">
      <c r="A368" s="489" t="s">
        <v>417</v>
      </c>
      <c r="B368" s="620" t="s">
        <v>716</v>
      </c>
      <c r="C368" s="468" t="s">
        <v>154</v>
      </c>
      <c r="D368" s="517">
        <f>D369</f>
        <v>0</v>
      </c>
      <c r="E368" s="517">
        <f t="shared" ref="E368:F368" si="115">E369</f>
        <v>51481.299999999996</v>
      </c>
      <c r="F368" s="517">
        <f t="shared" si="115"/>
        <v>120123</v>
      </c>
      <c r="G368" s="520"/>
    </row>
    <row r="369" spans="1:7" s="513" customFormat="1" x14ac:dyDescent="0.25">
      <c r="A369" s="451" t="s">
        <v>9</v>
      </c>
      <c r="B369" s="620" t="s">
        <v>716</v>
      </c>
      <c r="C369" s="468" t="s">
        <v>155</v>
      </c>
      <c r="D369" s="517">
        <f>'Функц. 2025-2027'!F408</f>
        <v>0</v>
      </c>
      <c r="E369" s="517">
        <f>'Функц. 2025-2027'!H408</f>
        <v>51481.299999999996</v>
      </c>
      <c r="F369" s="517">
        <f>'Функц. 2025-2027'!J408</f>
        <v>120123</v>
      </c>
      <c r="G369" s="520"/>
    </row>
    <row r="370" spans="1:7" s="513" customFormat="1" ht="47.25" x14ac:dyDescent="0.25">
      <c r="A370" s="451" t="s">
        <v>719</v>
      </c>
      <c r="B370" s="620" t="s">
        <v>717</v>
      </c>
      <c r="C370" s="468"/>
      <c r="D370" s="517">
        <f>D371</f>
        <v>0</v>
      </c>
      <c r="E370" s="517">
        <f t="shared" ref="E370:F370" si="116">E371</f>
        <v>120620.29999999999</v>
      </c>
      <c r="F370" s="517">
        <f t="shared" si="116"/>
        <v>120620.29999999999</v>
      </c>
      <c r="G370" s="520"/>
    </row>
    <row r="371" spans="1:7" s="513" customFormat="1" x14ac:dyDescent="0.25">
      <c r="A371" s="489" t="s">
        <v>417</v>
      </c>
      <c r="B371" s="620" t="s">
        <v>717</v>
      </c>
      <c r="C371" s="468" t="s">
        <v>154</v>
      </c>
      <c r="D371" s="517">
        <f>D372</f>
        <v>0</v>
      </c>
      <c r="E371" s="517">
        <f t="shared" ref="E371:F371" si="117">E372</f>
        <v>120620.29999999999</v>
      </c>
      <c r="F371" s="517">
        <f t="shared" si="117"/>
        <v>120620.29999999999</v>
      </c>
      <c r="G371" s="520"/>
    </row>
    <row r="372" spans="1:7" s="513" customFormat="1" x14ac:dyDescent="0.25">
      <c r="A372" s="451" t="s">
        <v>9</v>
      </c>
      <c r="B372" s="620" t="s">
        <v>717</v>
      </c>
      <c r="C372" s="468" t="s">
        <v>155</v>
      </c>
      <c r="D372" s="517">
        <f>'Функц. 2025-2027'!F411</f>
        <v>0</v>
      </c>
      <c r="E372" s="517">
        <f>'Функц. 2025-2027'!H411</f>
        <v>120620.29999999999</v>
      </c>
      <c r="F372" s="517">
        <f>'Функц. 2025-2027'!J411</f>
        <v>120620.29999999999</v>
      </c>
      <c r="G372" s="520"/>
    </row>
    <row r="373" spans="1:7" s="513" customFormat="1" ht="47.25" x14ac:dyDescent="0.25">
      <c r="A373" s="451" t="s">
        <v>839</v>
      </c>
      <c r="B373" s="555" t="s">
        <v>840</v>
      </c>
      <c r="C373" s="473"/>
      <c r="D373" s="517">
        <f>D374</f>
        <v>621.20000000000005</v>
      </c>
      <c r="E373" s="517">
        <f t="shared" ref="E373:F373" si="118">E374</f>
        <v>123611.8</v>
      </c>
      <c r="F373" s="517">
        <f t="shared" si="118"/>
        <v>0</v>
      </c>
      <c r="G373" s="520"/>
    </row>
    <row r="374" spans="1:7" s="513" customFormat="1" x14ac:dyDescent="0.25">
      <c r="A374" s="668" t="s">
        <v>417</v>
      </c>
      <c r="B374" s="555" t="s">
        <v>840</v>
      </c>
      <c r="C374" s="473" t="s">
        <v>154</v>
      </c>
      <c r="D374" s="517">
        <f>D375</f>
        <v>621.20000000000005</v>
      </c>
      <c r="E374" s="517">
        <f t="shared" ref="E374:F374" si="119">E375</f>
        <v>123611.8</v>
      </c>
      <c r="F374" s="517">
        <f t="shared" si="119"/>
        <v>0</v>
      </c>
      <c r="G374" s="520"/>
    </row>
    <row r="375" spans="1:7" s="513" customFormat="1" x14ac:dyDescent="0.25">
      <c r="A375" s="451" t="s">
        <v>9</v>
      </c>
      <c r="B375" s="555" t="s">
        <v>840</v>
      </c>
      <c r="C375" s="473" t="s">
        <v>155</v>
      </c>
      <c r="D375" s="517">
        <f>'Функц. 2025-2027'!F414</f>
        <v>621.20000000000005</v>
      </c>
      <c r="E375" s="517">
        <f>'Функц. 2025-2027'!H414</f>
        <v>123611.8</v>
      </c>
      <c r="F375" s="517">
        <f>'Функц. 2025-2027'!J414</f>
        <v>0</v>
      </c>
      <c r="G375" s="520"/>
    </row>
    <row r="376" spans="1:7" s="513" customFormat="1" x14ac:dyDescent="0.25">
      <c r="A376" s="523" t="s">
        <v>639</v>
      </c>
      <c r="B376" s="620" t="s">
        <v>646</v>
      </c>
      <c r="C376" s="430"/>
      <c r="D376" s="27">
        <f t="shared" ref="D376:F377" si="120">D377</f>
        <v>305271.90000000002</v>
      </c>
      <c r="E376" s="27">
        <f t="shared" si="120"/>
        <v>220840.9</v>
      </c>
      <c r="F376" s="27">
        <f t="shared" si="120"/>
        <v>0</v>
      </c>
      <c r="G376" s="520"/>
    </row>
    <row r="377" spans="1:7" s="513" customFormat="1" x14ac:dyDescent="0.25">
      <c r="A377" s="523" t="s">
        <v>120</v>
      </c>
      <c r="B377" s="620" t="s">
        <v>646</v>
      </c>
      <c r="C377" s="430" t="s">
        <v>37</v>
      </c>
      <c r="D377" s="27">
        <f t="shared" si="120"/>
        <v>305271.90000000002</v>
      </c>
      <c r="E377" s="27">
        <f t="shared" si="120"/>
        <v>220840.9</v>
      </c>
      <c r="F377" s="27">
        <f t="shared" si="120"/>
        <v>0</v>
      </c>
      <c r="G377" s="520"/>
    </row>
    <row r="378" spans="1:7" s="513" customFormat="1" x14ac:dyDescent="0.25">
      <c r="A378" s="523" t="s">
        <v>52</v>
      </c>
      <c r="B378" s="620" t="s">
        <v>646</v>
      </c>
      <c r="C378" s="430" t="s">
        <v>65</v>
      </c>
      <c r="D378" s="27">
        <f>'Функц. 2025-2027'!F417</f>
        <v>305271.90000000002</v>
      </c>
      <c r="E378" s="27">
        <f>'Функц. 2025-2027'!H417</f>
        <v>220840.9</v>
      </c>
      <c r="F378" s="27">
        <f>'Функц. 2025-2027'!J417</f>
        <v>0</v>
      </c>
      <c r="G378" s="520"/>
    </row>
    <row r="379" spans="1:7" s="134" customFormat="1" ht="47.25" x14ac:dyDescent="0.25">
      <c r="A379" s="523" t="s">
        <v>727</v>
      </c>
      <c r="B379" s="156" t="s">
        <v>626</v>
      </c>
      <c r="C379" s="430"/>
      <c r="D379" s="27">
        <f>D383+D380</f>
        <v>487724.80000000005</v>
      </c>
      <c r="E379" s="517">
        <f t="shared" ref="E379:F379" si="121">E383</f>
        <v>62987.199999999997</v>
      </c>
      <c r="F379" s="517">
        <f t="shared" si="121"/>
        <v>0</v>
      </c>
      <c r="G379" s="152"/>
    </row>
    <row r="380" spans="1:7" s="513" customFormat="1" ht="31.5" x14ac:dyDescent="0.25">
      <c r="A380" s="479" t="s">
        <v>784</v>
      </c>
      <c r="B380" s="542" t="s">
        <v>783</v>
      </c>
      <c r="C380" s="473"/>
      <c r="D380" s="517">
        <f>D381</f>
        <v>2400</v>
      </c>
      <c r="E380" s="517">
        <f t="shared" ref="E380:F381" si="122">E381</f>
        <v>0</v>
      </c>
      <c r="F380" s="517">
        <f t="shared" si="122"/>
        <v>0</v>
      </c>
      <c r="G380" s="520"/>
    </row>
    <row r="381" spans="1:7" s="513" customFormat="1" x14ac:dyDescent="0.25">
      <c r="A381" s="479" t="s">
        <v>120</v>
      </c>
      <c r="B381" s="542" t="s">
        <v>783</v>
      </c>
      <c r="C381" s="473" t="s">
        <v>37</v>
      </c>
      <c r="D381" s="517">
        <f>D382</f>
        <v>2400</v>
      </c>
      <c r="E381" s="517">
        <f t="shared" si="122"/>
        <v>0</v>
      </c>
      <c r="F381" s="517">
        <f t="shared" si="122"/>
        <v>0</v>
      </c>
      <c r="G381" s="520"/>
    </row>
    <row r="382" spans="1:7" s="513" customFormat="1" x14ac:dyDescent="0.25">
      <c r="A382" s="479" t="s">
        <v>52</v>
      </c>
      <c r="B382" s="542" t="s">
        <v>783</v>
      </c>
      <c r="C382" s="473" t="s">
        <v>65</v>
      </c>
      <c r="D382" s="517">
        <f>'Функц. 2025-2027'!F421</f>
        <v>2400</v>
      </c>
      <c r="E382" s="517">
        <f>'Функц. 2025-2027'!H421</f>
        <v>0</v>
      </c>
      <c r="F382" s="517">
        <f>'Функц. 2025-2027'!J421</f>
        <v>0</v>
      </c>
      <c r="G382" s="520"/>
    </row>
    <row r="383" spans="1:7" s="134" customFormat="1" ht="31.5" x14ac:dyDescent="0.25">
      <c r="A383" s="523" t="s">
        <v>640</v>
      </c>
      <c r="B383" s="620" t="s">
        <v>647</v>
      </c>
      <c r="C383" s="430"/>
      <c r="D383" s="27">
        <f t="shared" ref="D383:F384" si="123">D384</f>
        <v>485324.80000000005</v>
      </c>
      <c r="E383" s="27">
        <f t="shared" si="123"/>
        <v>62987.199999999997</v>
      </c>
      <c r="F383" s="27">
        <f t="shared" si="123"/>
        <v>0</v>
      </c>
      <c r="G383" s="152"/>
    </row>
    <row r="384" spans="1:7" s="134" customFormat="1" x14ac:dyDescent="0.25">
      <c r="A384" s="523" t="s">
        <v>120</v>
      </c>
      <c r="B384" s="620" t="s">
        <v>647</v>
      </c>
      <c r="C384" s="430" t="s">
        <v>37</v>
      </c>
      <c r="D384" s="27">
        <f t="shared" si="123"/>
        <v>485324.80000000005</v>
      </c>
      <c r="E384" s="27">
        <f t="shared" si="123"/>
        <v>62987.199999999997</v>
      </c>
      <c r="F384" s="27">
        <f t="shared" si="123"/>
        <v>0</v>
      </c>
      <c r="G384" s="152"/>
    </row>
    <row r="385" spans="1:30" s="134" customFormat="1" x14ac:dyDescent="0.25">
      <c r="A385" s="523" t="s">
        <v>52</v>
      </c>
      <c r="B385" s="620" t="s">
        <v>647</v>
      </c>
      <c r="C385" s="430" t="s">
        <v>65</v>
      </c>
      <c r="D385" s="27">
        <f>'Функц. 2025-2027'!F424</f>
        <v>485324.80000000005</v>
      </c>
      <c r="E385" s="27">
        <f>'Функц. 2025-2027'!H424</f>
        <v>62987.199999999997</v>
      </c>
      <c r="F385" s="27">
        <f>'Функц. 2025-2027'!J424</f>
        <v>0</v>
      </c>
      <c r="G385" s="152"/>
    </row>
    <row r="386" spans="1:30" s="513" customFormat="1" x14ac:dyDescent="0.25">
      <c r="A386" s="451" t="s">
        <v>665</v>
      </c>
      <c r="B386" s="613" t="s">
        <v>666</v>
      </c>
      <c r="C386" s="468"/>
      <c r="D386" s="517">
        <f>D387</f>
        <v>22000</v>
      </c>
      <c r="E386" s="517">
        <f t="shared" ref="E386:F392" si="124">E387</f>
        <v>0</v>
      </c>
      <c r="F386" s="517">
        <f t="shared" si="124"/>
        <v>0</v>
      </c>
      <c r="G386" s="520"/>
    </row>
    <row r="387" spans="1:30" s="513" customFormat="1" ht="31.5" x14ac:dyDescent="0.25">
      <c r="A387" s="451" t="s">
        <v>668</v>
      </c>
      <c r="B387" s="613" t="s">
        <v>667</v>
      </c>
      <c r="C387" s="468"/>
      <c r="D387" s="517">
        <f>D391+D388</f>
        <v>22000</v>
      </c>
      <c r="E387" s="517">
        <f t="shared" ref="E387:F387" si="125">E391+E388</f>
        <v>0</v>
      </c>
      <c r="F387" s="517">
        <f t="shared" si="125"/>
        <v>0</v>
      </c>
      <c r="G387" s="520"/>
    </row>
    <row r="388" spans="1:30" s="513" customFormat="1" ht="31.5" x14ac:dyDescent="0.25">
      <c r="A388" s="451" t="s">
        <v>846</v>
      </c>
      <c r="B388" s="542" t="s">
        <v>847</v>
      </c>
      <c r="C388" s="473"/>
      <c r="D388" s="517">
        <f>D389</f>
        <v>5500</v>
      </c>
      <c r="E388" s="517">
        <f t="shared" ref="E388:F389" si="126">E389</f>
        <v>0</v>
      </c>
      <c r="F388" s="517">
        <f t="shared" si="126"/>
        <v>0</v>
      </c>
      <c r="G388" s="520"/>
    </row>
    <row r="389" spans="1:30" s="513" customFormat="1" x14ac:dyDescent="0.25">
      <c r="A389" s="451" t="s">
        <v>120</v>
      </c>
      <c r="B389" s="542" t="s">
        <v>847</v>
      </c>
      <c r="C389" s="473" t="s">
        <v>37</v>
      </c>
      <c r="D389" s="517">
        <f>D390</f>
        <v>5500</v>
      </c>
      <c r="E389" s="517">
        <f t="shared" si="126"/>
        <v>0</v>
      </c>
      <c r="F389" s="517">
        <f t="shared" si="126"/>
        <v>0</v>
      </c>
      <c r="G389" s="517">
        <f t="shared" ref="G389:AD389" si="127">G390</f>
        <v>0</v>
      </c>
      <c r="H389" s="517">
        <f t="shared" si="127"/>
        <v>0</v>
      </c>
      <c r="I389" s="517">
        <f t="shared" si="127"/>
        <v>0</v>
      </c>
      <c r="J389" s="517">
        <f t="shared" si="127"/>
        <v>0</v>
      </c>
      <c r="K389" s="517">
        <f t="shared" si="127"/>
        <v>0</v>
      </c>
      <c r="L389" s="517">
        <f t="shared" si="127"/>
        <v>0</v>
      </c>
      <c r="M389" s="517">
        <f t="shared" si="127"/>
        <v>0</v>
      </c>
      <c r="N389" s="517">
        <f t="shared" si="127"/>
        <v>0</v>
      </c>
      <c r="O389" s="517">
        <f t="shared" si="127"/>
        <v>0</v>
      </c>
      <c r="P389" s="517">
        <f t="shared" si="127"/>
        <v>0</v>
      </c>
      <c r="Q389" s="517">
        <f t="shared" si="127"/>
        <v>0</v>
      </c>
      <c r="R389" s="517">
        <f t="shared" si="127"/>
        <v>0</v>
      </c>
      <c r="S389" s="517">
        <f t="shared" si="127"/>
        <v>0</v>
      </c>
      <c r="T389" s="517">
        <f t="shared" si="127"/>
        <v>0</v>
      </c>
      <c r="U389" s="517">
        <f t="shared" si="127"/>
        <v>0</v>
      </c>
      <c r="V389" s="517">
        <f t="shared" si="127"/>
        <v>0</v>
      </c>
      <c r="W389" s="517">
        <f t="shared" si="127"/>
        <v>0</v>
      </c>
      <c r="X389" s="517">
        <f t="shared" si="127"/>
        <v>0</v>
      </c>
      <c r="Y389" s="517">
        <f t="shared" si="127"/>
        <v>0</v>
      </c>
      <c r="Z389" s="517">
        <f t="shared" si="127"/>
        <v>0</v>
      </c>
      <c r="AA389" s="517">
        <f t="shared" si="127"/>
        <v>0</v>
      </c>
      <c r="AB389" s="517">
        <f t="shared" si="127"/>
        <v>0</v>
      </c>
      <c r="AC389" s="517">
        <f t="shared" si="127"/>
        <v>0</v>
      </c>
      <c r="AD389" s="517">
        <f t="shared" si="127"/>
        <v>0</v>
      </c>
    </row>
    <row r="390" spans="1:30" s="513" customFormat="1" x14ac:dyDescent="0.25">
      <c r="A390" s="451" t="s">
        <v>52</v>
      </c>
      <c r="B390" s="542" t="s">
        <v>847</v>
      </c>
      <c r="C390" s="473" t="s">
        <v>65</v>
      </c>
      <c r="D390" s="517">
        <f>'Функц. 2025-2027'!F429</f>
        <v>5500</v>
      </c>
      <c r="E390" s="517">
        <f>'Функц. 2025-2027'!H429</f>
        <v>0</v>
      </c>
      <c r="F390" s="517">
        <f>'Функц. 2025-2027'!J429</f>
        <v>0</v>
      </c>
      <c r="G390" s="520"/>
    </row>
    <row r="391" spans="1:30" s="513" customFormat="1" x14ac:dyDescent="0.25">
      <c r="A391" s="451" t="s">
        <v>669</v>
      </c>
      <c r="B391" s="613" t="s">
        <v>670</v>
      </c>
      <c r="C391" s="468"/>
      <c r="D391" s="517">
        <f>D392</f>
        <v>16500</v>
      </c>
      <c r="E391" s="517">
        <f t="shared" si="124"/>
        <v>0</v>
      </c>
      <c r="F391" s="517">
        <f t="shared" si="124"/>
        <v>0</v>
      </c>
      <c r="G391" s="517">
        <f t="shared" ref="G391:AD391" si="128">G392</f>
        <v>0</v>
      </c>
      <c r="H391" s="517">
        <f t="shared" si="128"/>
        <v>0</v>
      </c>
      <c r="I391" s="517">
        <f t="shared" si="128"/>
        <v>0</v>
      </c>
      <c r="J391" s="517">
        <f t="shared" si="128"/>
        <v>0</v>
      </c>
      <c r="K391" s="517">
        <f t="shared" si="128"/>
        <v>0</v>
      </c>
      <c r="L391" s="517">
        <f t="shared" si="128"/>
        <v>0</v>
      </c>
      <c r="M391" s="517">
        <f t="shared" si="128"/>
        <v>0</v>
      </c>
      <c r="N391" s="517">
        <f t="shared" si="128"/>
        <v>0</v>
      </c>
      <c r="O391" s="517">
        <f t="shared" si="128"/>
        <v>0</v>
      </c>
      <c r="P391" s="517">
        <f t="shared" si="128"/>
        <v>0</v>
      </c>
      <c r="Q391" s="517">
        <f t="shared" si="128"/>
        <v>0</v>
      </c>
      <c r="R391" s="517">
        <f t="shared" si="128"/>
        <v>0</v>
      </c>
      <c r="S391" s="517">
        <f t="shared" si="128"/>
        <v>0</v>
      </c>
      <c r="T391" s="517">
        <f t="shared" si="128"/>
        <v>0</v>
      </c>
      <c r="U391" s="517">
        <f t="shared" si="128"/>
        <v>0</v>
      </c>
      <c r="V391" s="517">
        <f t="shared" si="128"/>
        <v>0</v>
      </c>
      <c r="W391" s="517">
        <f t="shared" si="128"/>
        <v>0</v>
      </c>
      <c r="X391" s="517">
        <f t="shared" si="128"/>
        <v>0</v>
      </c>
      <c r="Y391" s="517">
        <f t="shared" si="128"/>
        <v>0</v>
      </c>
      <c r="Z391" s="517">
        <f t="shared" si="128"/>
        <v>0</v>
      </c>
      <c r="AA391" s="517">
        <f t="shared" si="128"/>
        <v>0</v>
      </c>
      <c r="AB391" s="517">
        <f t="shared" si="128"/>
        <v>0</v>
      </c>
      <c r="AC391" s="517">
        <f t="shared" si="128"/>
        <v>0</v>
      </c>
      <c r="AD391" s="517">
        <f t="shared" si="128"/>
        <v>0</v>
      </c>
    </row>
    <row r="392" spans="1:30" s="513" customFormat="1" x14ac:dyDescent="0.25">
      <c r="A392" s="451" t="s">
        <v>120</v>
      </c>
      <c r="B392" s="613" t="s">
        <v>670</v>
      </c>
      <c r="C392" s="525" t="s">
        <v>37</v>
      </c>
      <c r="D392" s="517">
        <f>D393</f>
        <v>16500</v>
      </c>
      <c r="E392" s="517">
        <f t="shared" si="124"/>
        <v>0</v>
      </c>
      <c r="F392" s="517">
        <f t="shared" si="124"/>
        <v>0</v>
      </c>
      <c r="G392" s="520"/>
    </row>
    <row r="393" spans="1:30" s="513" customFormat="1" x14ac:dyDescent="0.25">
      <c r="A393" s="451" t="s">
        <v>52</v>
      </c>
      <c r="B393" s="613" t="s">
        <v>670</v>
      </c>
      <c r="C393" s="525" t="s">
        <v>65</v>
      </c>
      <c r="D393" s="517">
        <f>'Функц. 2025-2027'!F432</f>
        <v>16500</v>
      </c>
      <c r="E393" s="517">
        <v>0</v>
      </c>
      <c r="F393" s="517">
        <v>0</v>
      </c>
      <c r="G393" s="520"/>
    </row>
    <row r="394" spans="1:30" s="134" customFormat="1" x14ac:dyDescent="0.25">
      <c r="A394" s="395" t="s">
        <v>186</v>
      </c>
      <c r="B394" s="621" t="s">
        <v>112</v>
      </c>
      <c r="C394" s="599"/>
      <c r="D394" s="30">
        <f>D395+D431+D426</f>
        <v>448008.4</v>
      </c>
      <c r="E394" s="30">
        <f>E395+E431+E426</f>
        <v>326225.90000000002</v>
      </c>
      <c r="F394" s="30">
        <f>F395+F431+F426</f>
        <v>325479.19999999995</v>
      </c>
      <c r="G394" s="152"/>
    </row>
    <row r="395" spans="1:30" x14ac:dyDescent="0.25">
      <c r="A395" s="275" t="s">
        <v>530</v>
      </c>
      <c r="B395" s="156" t="s">
        <v>113</v>
      </c>
      <c r="C395" s="444"/>
      <c r="D395" s="27">
        <f>D396+D409+D415</f>
        <v>80999.3</v>
      </c>
      <c r="E395" s="27">
        <f>E396+E409+E415</f>
        <v>49987.7</v>
      </c>
      <c r="F395" s="27">
        <f>F396+F409+F415</f>
        <v>35660.6</v>
      </c>
      <c r="G395" s="152"/>
    </row>
    <row r="396" spans="1:30" ht="31.5" x14ac:dyDescent="0.25">
      <c r="A396" s="277" t="s">
        <v>182</v>
      </c>
      <c r="B396" s="156" t="s">
        <v>183</v>
      </c>
      <c r="C396" s="444"/>
      <c r="D396" s="27">
        <f>D397+D406</f>
        <v>51842</v>
      </c>
      <c r="E396" s="27">
        <f>E397+E406</f>
        <v>22827.1</v>
      </c>
      <c r="F396" s="27">
        <f>F397+F406</f>
        <v>8500</v>
      </c>
      <c r="G396" s="152"/>
    </row>
    <row r="397" spans="1:30" ht="32.25" customHeight="1" x14ac:dyDescent="0.25">
      <c r="A397" s="276" t="s">
        <v>774</v>
      </c>
      <c r="B397" s="156" t="s">
        <v>185</v>
      </c>
      <c r="C397" s="407"/>
      <c r="D397" s="27">
        <f>D398+D400+D402+D404</f>
        <v>29742</v>
      </c>
      <c r="E397" s="517">
        <f t="shared" ref="E397:F397" si="129">E398+E400+E402+E404</f>
        <v>14527.099999999999</v>
      </c>
      <c r="F397" s="517">
        <f t="shared" si="129"/>
        <v>200</v>
      </c>
      <c r="G397" s="517">
        <f t="shared" ref="G397:AD397" si="130">G398+G400+G402</f>
        <v>0</v>
      </c>
      <c r="H397" s="517">
        <f t="shared" si="130"/>
        <v>0</v>
      </c>
      <c r="I397" s="517">
        <f t="shared" si="130"/>
        <v>0</v>
      </c>
      <c r="J397" s="517">
        <f t="shared" si="130"/>
        <v>0</v>
      </c>
      <c r="K397" s="517">
        <f t="shared" si="130"/>
        <v>0</v>
      </c>
      <c r="L397" s="517">
        <f t="shared" si="130"/>
        <v>0</v>
      </c>
      <c r="M397" s="517">
        <f t="shared" si="130"/>
        <v>0</v>
      </c>
      <c r="N397" s="517">
        <f t="shared" si="130"/>
        <v>0</v>
      </c>
      <c r="O397" s="517">
        <f t="shared" si="130"/>
        <v>0</v>
      </c>
      <c r="P397" s="517">
        <f t="shared" si="130"/>
        <v>0</v>
      </c>
      <c r="Q397" s="517">
        <f t="shared" si="130"/>
        <v>0</v>
      </c>
      <c r="R397" s="517">
        <f t="shared" si="130"/>
        <v>0</v>
      </c>
      <c r="S397" s="517">
        <f t="shared" si="130"/>
        <v>0</v>
      </c>
      <c r="T397" s="517">
        <f t="shared" si="130"/>
        <v>0</v>
      </c>
      <c r="U397" s="517">
        <f t="shared" si="130"/>
        <v>0</v>
      </c>
      <c r="V397" s="517">
        <f t="shared" si="130"/>
        <v>0</v>
      </c>
      <c r="W397" s="517">
        <f t="shared" si="130"/>
        <v>0</v>
      </c>
      <c r="X397" s="517">
        <f t="shared" si="130"/>
        <v>0</v>
      </c>
      <c r="Y397" s="517">
        <f t="shared" si="130"/>
        <v>0</v>
      </c>
      <c r="Z397" s="517">
        <f t="shared" si="130"/>
        <v>0</v>
      </c>
      <c r="AA397" s="517">
        <f t="shared" si="130"/>
        <v>0</v>
      </c>
      <c r="AB397" s="517">
        <f t="shared" si="130"/>
        <v>0</v>
      </c>
      <c r="AC397" s="517">
        <f t="shared" si="130"/>
        <v>0</v>
      </c>
      <c r="AD397" s="517">
        <f t="shared" si="130"/>
        <v>0</v>
      </c>
    </row>
    <row r="398" spans="1:30" x14ac:dyDescent="0.25">
      <c r="A398" s="273" t="s">
        <v>120</v>
      </c>
      <c r="B398" s="156" t="s">
        <v>185</v>
      </c>
      <c r="C398" s="444">
        <v>200</v>
      </c>
      <c r="D398" s="27">
        <f>D399</f>
        <v>15380.9</v>
      </c>
      <c r="E398" s="27">
        <f>E399</f>
        <v>700</v>
      </c>
      <c r="F398" s="27">
        <f>F399</f>
        <v>200</v>
      </c>
      <c r="G398" s="152"/>
    </row>
    <row r="399" spans="1:30" x14ac:dyDescent="0.25">
      <c r="A399" s="273" t="s">
        <v>52</v>
      </c>
      <c r="B399" s="156" t="s">
        <v>185</v>
      </c>
      <c r="C399" s="444">
        <v>240</v>
      </c>
      <c r="D399" s="27">
        <f>'Функц. 2025-2027'!F136</f>
        <v>15380.9</v>
      </c>
      <c r="E399" s="27">
        <f>'Функц. 2025-2027'!H136</f>
        <v>700</v>
      </c>
      <c r="F399" s="27">
        <f>'Функц. 2025-2027'!J136</f>
        <v>200</v>
      </c>
      <c r="G399" s="152"/>
    </row>
    <row r="400" spans="1:30" s="177" customFormat="1" x14ac:dyDescent="0.25">
      <c r="A400" s="273" t="s">
        <v>97</v>
      </c>
      <c r="B400" s="156" t="s">
        <v>185</v>
      </c>
      <c r="C400" s="444">
        <v>300</v>
      </c>
      <c r="D400" s="27">
        <f>D401</f>
        <v>2233.2999999999997</v>
      </c>
      <c r="E400" s="167">
        <f>E401</f>
        <v>2279.1999999999998</v>
      </c>
      <c r="F400" s="27">
        <f>F401</f>
        <v>0</v>
      </c>
      <c r="G400" s="152"/>
    </row>
    <row r="401" spans="1:7" s="177" customFormat="1" x14ac:dyDescent="0.25">
      <c r="A401" s="523" t="s">
        <v>421</v>
      </c>
      <c r="B401" s="156" t="s">
        <v>185</v>
      </c>
      <c r="C401" s="444">
        <v>360</v>
      </c>
      <c r="D401" s="27">
        <f>'Функц. 2025-2027'!F138</f>
        <v>2233.2999999999997</v>
      </c>
      <c r="E401" s="27">
        <f>'Функц. 2025-2027'!H138</f>
        <v>2279.1999999999998</v>
      </c>
      <c r="F401" s="27">
        <f>'Функц. 2025-2027'!J138</f>
        <v>0</v>
      </c>
      <c r="G401" s="152"/>
    </row>
    <row r="402" spans="1:7" s="177" customFormat="1" ht="31.5" x14ac:dyDescent="0.25">
      <c r="A402" s="375" t="s">
        <v>60</v>
      </c>
      <c r="B402" s="156" t="s">
        <v>185</v>
      </c>
      <c r="C402" s="444">
        <v>600</v>
      </c>
      <c r="D402" s="27">
        <f>D403</f>
        <v>11547.9</v>
      </c>
      <c r="E402" s="27">
        <f>E403</f>
        <v>11547.9</v>
      </c>
      <c r="F402" s="27">
        <f>F403</f>
        <v>0</v>
      </c>
      <c r="G402" s="152"/>
    </row>
    <row r="403" spans="1:7" s="177" customFormat="1" x14ac:dyDescent="0.25">
      <c r="A403" s="375" t="s">
        <v>61</v>
      </c>
      <c r="B403" s="156" t="s">
        <v>185</v>
      </c>
      <c r="C403" s="444">
        <v>610</v>
      </c>
      <c r="D403" s="27">
        <f>'Функц. 2025-2027'!F140</f>
        <v>11547.9</v>
      </c>
      <c r="E403" s="27">
        <f>'Функц. 2025-2027'!H140</f>
        <v>11547.9</v>
      </c>
      <c r="F403" s="27">
        <f>'Функц. 2025-2027'!J140</f>
        <v>0</v>
      </c>
      <c r="G403" s="152"/>
    </row>
    <row r="404" spans="1:7" s="519" customFormat="1" x14ac:dyDescent="0.25">
      <c r="A404" s="451" t="s">
        <v>42</v>
      </c>
      <c r="B404" s="156" t="s">
        <v>185</v>
      </c>
      <c r="C404" s="326">
        <v>800</v>
      </c>
      <c r="D404" s="517">
        <f>D405</f>
        <v>579.9</v>
      </c>
      <c r="E404" s="517">
        <f t="shared" ref="E404:F404" si="131">E405</f>
        <v>0</v>
      </c>
      <c r="F404" s="517">
        <f t="shared" si="131"/>
        <v>0</v>
      </c>
      <c r="G404" s="520"/>
    </row>
    <row r="405" spans="1:7" s="519" customFormat="1" x14ac:dyDescent="0.25">
      <c r="A405" s="451" t="s">
        <v>57</v>
      </c>
      <c r="B405" s="156" t="s">
        <v>185</v>
      </c>
      <c r="C405" s="326">
        <v>850</v>
      </c>
      <c r="D405" s="517">
        <f>'Функц. 2025-2027'!F142</f>
        <v>579.9</v>
      </c>
      <c r="E405" s="517">
        <f>'Функц. 2025-2027'!H142</f>
        <v>0</v>
      </c>
      <c r="F405" s="517">
        <f>'Функц. 2025-2027'!J142</f>
        <v>0</v>
      </c>
      <c r="G405" s="520"/>
    </row>
    <row r="406" spans="1:7" s="177" customFormat="1" x14ac:dyDescent="0.25">
      <c r="A406" s="258" t="s">
        <v>433</v>
      </c>
      <c r="B406" s="156" t="s">
        <v>386</v>
      </c>
      <c r="C406" s="444"/>
      <c r="D406" s="27">
        <f t="shared" ref="D406:F407" si="132">D407</f>
        <v>22100</v>
      </c>
      <c r="E406" s="27">
        <f t="shared" si="132"/>
        <v>8300</v>
      </c>
      <c r="F406" s="27">
        <f t="shared" si="132"/>
        <v>8300</v>
      </c>
      <c r="G406" s="152"/>
    </row>
    <row r="407" spans="1:7" x14ac:dyDescent="0.25">
      <c r="A407" s="273" t="s">
        <v>120</v>
      </c>
      <c r="B407" s="156" t="s">
        <v>386</v>
      </c>
      <c r="C407" s="606">
        <v>200</v>
      </c>
      <c r="D407" s="27">
        <f t="shared" si="132"/>
        <v>22100</v>
      </c>
      <c r="E407" s="27">
        <f t="shared" si="132"/>
        <v>8300</v>
      </c>
      <c r="F407" s="27">
        <f t="shared" si="132"/>
        <v>8300</v>
      </c>
      <c r="G407" s="152"/>
    </row>
    <row r="408" spans="1:7" x14ac:dyDescent="0.25">
      <c r="A408" s="273" t="s">
        <v>52</v>
      </c>
      <c r="B408" s="156" t="s">
        <v>386</v>
      </c>
      <c r="C408" s="606">
        <v>240</v>
      </c>
      <c r="D408" s="27">
        <f>'Функц. 2025-2027'!F384</f>
        <v>22100</v>
      </c>
      <c r="E408" s="27">
        <f>'Функц. 2025-2027'!H384</f>
        <v>8300</v>
      </c>
      <c r="F408" s="27">
        <f>'Функц. 2025-2027'!J384</f>
        <v>8300</v>
      </c>
      <c r="G408" s="152"/>
    </row>
    <row r="409" spans="1:7" ht="47.25" x14ac:dyDescent="0.25">
      <c r="A409" s="466" t="s">
        <v>722</v>
      </c>
      <c r="B409" s="156" t="s">
        <v>187</v>
      </c>
      <c r="C409" s="607"/>
      <c r="D409" s="27">
        <f>D410</f>
        <v>1643</v>
      </c>
      <c r="E409" s="27">
        <f>E410</f>
        <v>1643.0000000000002</v>
      </c>
      <c r="F409" s="27">
        <f>F410</f>
        <v>1643.0000000000002</v>
      </c>
      <c r="G409" s="152"/>
    </row>
    <row r="410" spans="1:7" ht="47.25" x14ac:dyDescent="0.25">
      <c r="A410" s="277" t="s">
        <v>611</v>
      </c>
      <c r="B410" s="156" t="s">
        <v>610</v>
      </c>
      <c r="C410" s="607"/>
      <c r="D410" s="27">
        <f>D412+D413</f>
        <v>1643</v>
      </c>
      <c r="E410" s="27">
        <f>E412+E413</f>
        <v>1643.0000000000002</v>
      </c>
      <c r="F410" s="27">
        <f>F412+F413</f>
        <v>1643.0000000000002</v>
      </c>
      <c r="G410" s="152"/>
    </row>
    <row r="411" spans="1:7" ht="47.25" x14ac:dyDescent="0.25">
      <c r="A411" s="273" t="s">
        <v>41</v>
      </c>
      <c r="B411" s="156" t="s">
        <v>610</v>
      </c>
      <c r="C411" s="607">
        <v>100</v>
      </c>
      <c r="D411" s="27">
        <f>D412</f>
        <v>1539.9</v>
      </c>
      <c r="E411" s="27">
        <f>E412</f>
        <v>1627.3000000000002</v>
      </c>
      <c r="F411" s="27">
        <f>F412</f>
        <v>1627.3000000000002</v>
      </c>
      <c r="G411" s="152"/>
    </row>
    <row r="412" spans="1:7" x14ac:dyDescent="0.25">
      <c r="A412" s="393" t="s">
        <v>96</v>
      </c>
      <c r="B412" s="156" t="s">
        <v>610</v>
      </c>
      <c r="C412" s="607">
        <v>120</v>
      </c>
      <c r="D412" s="27">
        <f>'Функц. 2025-2027'!F146</f>
        <v>1539.9</v>
      </c>
      <c r="E412" s="27">
        <f>'Функц. 2025-2027'!H146</f>
        <v>1627.3000000000002</v>
      </c>
      <c r="F412" s="27">
        <f>'Функц. 2025-2027'!J146</f>
        <v>1627.3000000000002</v>
      </c>
      <c r="G412" s="152"/>
    </row>
    <row r="413" spans="1:7" x14ac:dyDescent="0.25">
      <c r="A413" s="393" t="s">
        <v>120</v>
      </c>
      <c r="B413" s="156" t="s">
        <v>610</v>
      </c>
      <c r="C413" s="607">
        <v>200</v>
      </c>
      <c r="D413" s="27">
        <f>D414</f>
        <v>103.10000000000001</v>
      </c>
      <c r="E413" s="27">
        <f>E414</f>
        <v>15.7</v>
      </c>
      <c r="F413" s="27">
        <f>F414</f>
        <v>15.7</v>
      </c>
      <c r="G413" s="152"/>
    </row>
    <row r="414" spans="1:7" x14ac:dyDescent="0.25">
      <c r="A414" s="393" t="s">
        <v>52</v>
      </c>
      <c r="B414" s="156" t="s">
        <v>610</v>
      </c>
      <c r="C414" s="607">
        <v>240</v>
      </c>
      <c r="D414" s="27">
        <f>'Функц. 2025-2027'!F148</f>
        <v>103.10000000000001</v>
      </c>
      <c r="E414" s="27">
        <f>'Функц. 2025-2027'!H148</f>
        <v>15.7</v>
      </c>
      <c r="F414" s="27">
        <f>'Функц. 2025-2027'!J148</f>
        <v>15.7</v>
      </c>
      <c r="G414" s="152"/>
    </row>
    <row r="415" spans="1:7" ht="31.5" x14ac:dyDescent="0.25">
      <c r="A415" s="275" t="s">
        <v>327</v>
      </c>
      <c r="B415" s="156" t="s">
        <v>459</v>
      </c>
      <c r="C415" s="607"/>
      <c r="D415" s="27">
        <f>D416</f>
        <v>27514.300000000003</v>
      </c>
      <c r="E415" s="27">
        <f>E416</f>
        <v>25517.599999999999</v>
      </c>
      <c r="F415" s="27">
        <f>F416</f>
        <v>25517.599999999999</v>
      </c>
      <c r="G415" s="152"/>
    </row>
    <row r="416" spans="1:7" x14ac:dyDescent="0.25">
      <c r="A416" s="275" t="s">
        <v>205</v>
      </c>
      <c r="B416" s="156" t="s">
        <v>460</v>
      </c>
      <c r="C416" s="444"/>
      <c r="D416" s="27">
        <f>D417+D420+D423</f>
        <v>27514.300000000003</v>
      </c>
      <c r="E416" s="27">
        <f>E417+E420+E423</f>
        <v>25517.599999999999</v>
      </c>
      <c r="F416" s="27">
        <f>F417+F420+F423</f>
        <v>25517.599999999999</v>
      </c>
      <c r="G416" s="152"/>
    </row>
    <row r="417" spans="1:7" ht="31.5" x14ac:dyDescent="0.25">
      <c r="A417" s="275" t="s">
        <v>206</v>
      </c>
      <c r="B417" s="156" t="s">
        <v>461</v>
      </c>
      <c r="C417" s="444"/>
      <c r="D417" s="27">
        <f t="shared" ref="D417:F418" si="133">D418</f>
        <v>3600.8</v>
      </c>
      <c r="E417" s="27">
        <f t="shared" si="133"/>
        <v>1785.8</v>
      </c>
      <c r="F417" s="27">
        <f t="shared" si="133"/>
        <v>1785.8</v>
      </c>
      <c r="G417" s="152"/>
    </row>
    <row r="418" spans="1:7" x14ac:dyDescent="0.25">
      <c r="A418" s="273" t="s">
        <v>120</v>
      </c>
      <c r="B418" s="156" t="s">
        <v>461</v>
      </c>
      <c r="C418" s="444">
        <v>200</v>
      </c>
      <c r="D418" s="27">
        <f t="shared" si="133"/>
        <v>3600.8</v>
      </c>
      <c r="E418" s="27">
        <f t="shared" si="133"/>
        <v>1785.8</v>
      </c>
      <c r="F418" s="27">
        <f t="shared" si="133"/>
        <v>1785.8</v>
      </c>
      <c r="G418" s="152"/>
    </row>
    <row r="419" spans="1:7" x14ac:dyDescent="0.25">
      <c r="A419" s="273" t="s">
        <v>52</v>
      </c>
      <c r="B419" s="156" t="s">
        <v>461</v>
      </c>
      <c r="C419" s="444">
        <v>240</v>
      </c>
      <c r="D419" s="27">
        <f>'Функц. 2025-2027'!F153</f>
        <v>3600.8</v>
      </c>
      <c r="E419" s="27">
        <f>'Функц. 2025-2027'!H153</f>
        <v>1785.8</v>
      </c>
      <c r="F419" s="27">
        <f>'Функц. 2025-2027'!J153</f>
        <v>1785.8</v>
      </c>
      <c r="G419" s="152"/>
    </row>
    <row r="420" spans="1:7" ht="31.5" x14ac:dyDescent="0.25">
      <c r="A420" s="273" t="s">
        <v>207</v>
      </c>
      <c r="B420" s="26" t="str">
        <f>B421</f>
        <v>12 1 04 00132</v>
      </c>
      <c r="C420" s="444"/>
      <c r="D420" s="27">
        <f t="shared" ref="D420:F421" si="134">D421</f>
        <v>8234.4</v>
      </c>
      <c r="E420" s="27">
        <f t="shared" si="134"/>
        <v>8211.2999999999993</v>
      </c>
      <c r="F420" s="27">
        <f t="shared" si="134"/>
        <v>8211.2999999999993</v>
      </c>
      <c r="G420" s="152"/>
    </row>
    <row r="421" spans="1:7" ht="47.25" x14ac:dyDescent="0.25">
      <c r="A421" s="273" t="s">
        <v>41</v>
      </c>
      <c r="B421" s="26" t="str">
        <f>B422</f>
        <v>12 1 04 00132</v>
      </c>
      <c r="C421" s="444">
        <v>100</v>
      </c>
      <c r="D421" s="27">
        <f t="shared" si="134"/>
        <v>8234.4</v>
      </c>
      <c r="E421" s="27">
        <f t="shared" si="134"/>
        <v>8211.2999999999993</v>
      </c>
      <c r="F421" s="27">
        <f t="shared" si="134"/>
        <v>8211.2999999999993</v>
      </c>
      <c r="G421" s="152"/>
    </row>
    <row r="422" spans="1:7" x14ac:dyDescent="0.25">
      <c r="A422" s="273" t="s">
        <v>96</v>
      </c>
      <c r="B422" s="156" t="s">
        <v>462</v>
      </c>
      <c r="C422" s="444">
        <v>120</v>
      </c>
      <c r="D422" s="27">
        <f>'Функц. 2025-2027'!F156</f>
        <v>8234.4</v>
      </c>
      <c r="E422" s="27">
        <f>'Функц. 2025-2027'!H156</f>
        <v>8211.2999999999993</v>
      </c>
      <c r="F422" s="27">
        <f>'Функц. 2025-2027'!J156</f>
        <v>8211.2999999999993</v>
      </c>
      <c r="G422" s="152"/>
    </row>
    <row r="423" spans="1:7" ht="31.5" x14ac:dyDescent="0.25">
      <c r="A423" s="273" t="s">
        <v>208</v>
      </c>
      <c r="B423" s="26" t="str">
        <f>B424</f>
        <v>12 1 04 00133</v>
      </c>
      <c r="C423" s="444"/>
      <c r="D423" s="27">
        <f t="shared" ref="D423:F424" si="135">D424</f>
        <v>15679.1</v>
      </c>
      <c r="E423" s="27">
        <f t="shared" si="135"/>
        <v>15520.5</v>
      </c>
      <c r="F423" s="27">
        <f t="shared" si="135"/>
        <v>15520.5</v>
      </c>
      <c r="G423" s="152"/>
    </row>
    <row r="424" spans="1:7" ht="47.25" x14ac:dyDescent="0.25">
      <c r="A424" s="273" t="s">
        <v>41</v>
      </c>
      <c r="B424" s="26" t="str">
        <f>B425</f>
        <v>12 1 04 00133</v>
      </c>
      <c r="C424" s="444">
        <v>100</v>
      </c>
      <c r="D424" s="27">
        <f t="shared" si="135"/>
        <v>15679.1</v>
      </c>
      <c r="E424" s="27">
        <f t="shared" si="135"/>
        <v>15520.5</v>
      </c>
      <c r="F424" s="27">
        <f t="shared" si="135"/>
        <v>15520.5</v>
      </c>
      <c r="G424" s="152"/>
    </row>
    <row r="425" spans="1:7" x14ac:dyDescent="0.25">
      <c r="A425" s="273" t="s">
        <v>96</v>
      </c>
      <c r="B425" s="156" t="s">
        <v>463</v>
      </c>
      <c r="C425" s="444">
        <v>120</v>
      </c>
      <c r="D425" s="27">
        <f>'Функц. 2025-2027'!F159</f>
        <v>15679.1</v>
      </c>
      <c r="E425" s="27">
        <f>'Функц. 2025-2027'!H159</f>
        <v>15520.5</v>
      </c>
      <c r="F425" s="27">
        <f>'Функц. 2025-2027'!J159</f>
        <v>15520.5</v>
      </c>
      <c r="G425" s="152"/>
    </row>
    <row r="426" spans="1:7" x14ac:dyDescent="0.25">
      <c r="A426" s="275" t="s">
        <v>531</v>
      </c>
      <c r="B426" s="156" t="s">
        <v>405</v>
      </c>
      <c r="C426" s="444"/>
      <c r="D426" s="27">
        <f t="shared" ref="D426:F429" si="136">D427</f>
        <v>4534.5</v>
      </c>
      <c r="E426" s="27">
        <f t="shared" si="136"/>
        <v>40146.5</v>
      </c>
      <c r="F426" s="27">
        <f t="shared" si="136"/>
        <v>53573.599999999999</v>
      </c>
      <c r="G426" s="152"/>
    </row>
    <row r="427" spans="1:7" ht="31.5" x14ac:dyDescent="0.25">
      <c r="A427" s="277" t="s">
        <v>532</v>
      </c>
      <c r="B427" s="156" t="s">
        <v>407</v>
      </c>
      <c r="C427" s="444"/>
      <c r="D427" s="27">
        <f t="shared" si="136"/>
        <v>4534.5</v>
      </c>
      <c r="E427" s="27">
        <f t="shared" si="136"/>
        <v>40146.5</v>
      </c>
      <c r="F427" s="27">
        <f t="shared" si="136"/>
        <v>53573.599999999999</v>
      </c>
      <c r="G427" s="152"/>
    </row>
    <row r="428" spans="1:7" x14ac:dyDescent="0.25">
      <c r="A428" s="275" t="s">
        <v>188</v>
      </c>
      <c r="B428" s="156" t="s">
        <v>533</v>
      </c>
      <c r="C428" s="444"/>
      <c r="D428" s="27">
        <f t="shared" si="136"/>
        <v>4534.5</v>
      </c>
      <c r="E428" s="27">
        <f t="shared" si="136"/>
        <v>40146.5</v>
      </c>
      <c r="F428" s="27">
        <f t="shared" si="136"/>
        <v>53573.599999999999</v>
      </c>
      <c r="G428" s="152"/>
    </row>
    <row r="429" spans="1:7" x14ac:dyDescent="0.25">
      <c r="A429" s="273" t="s">
        <v>67</v>
      </c>
      <c r="B429" s="156" t="s">
        <v>533</v>
      </c>
      <c r="C429" s="444">
        <v>700</v>
      </c>
      <c r="D429" s="27">
        <f t="shared" si="136"/>
        <v>4534.5</v>
      </c>
      <c r="E429" s="27">
        <f t="shared" si="136"/>
        <v>40146.5</v>
      </c>
      <c r="F429" s="27">
        <f t="shared" si="136"/>
        <v>53573.599999999999</v>
      </c>
      <c r="G429" s="152"/>
    </row>
    <row r="430" spans="1:7" x14ac:dyDescent="0.25">
      <c r="A430" s="399" t="s">
        <v>355</v>
      </c>
      <c r="B430" s="156" t="s">
        <v>533</v>
      </c>
      <c r="C430" s="444">
        <v>730</v>
      </c>
      <c r="D430" s="27">
        <f>'Функц. 2025-2027'!F903</f>
        <v>4534.5</v>
      </c>
      <c r="E430" s="27">
        <f>'Функц. 2025-2027'!H903</f>
        <v>40146.5</v>
      </c>
      <c r="F430" s="27">
        <f>'Функц. 2025-2027'!J903</f>
        <v>53573.599999999999</v>
      </c>
      <c r="G430" s="152"/>
    </row>
    <row r="431" spans="1:7" x14ac:dyDescent="0.25">
      <c r="A431" s="275" t="s">
        <v>189</v>
      </c>
      <c r="B431" s="156" t="s">
        <v>190</v>
      </c>
      <c r="C431" s="407"/>
      <c r="D431" s="27">
        <f>D432+D499</f>
        <v>362474.60000000003</v>
      </c>
      <c r="E431" s="27">
        <f>E432+E499</f>
        <v>236091.7</v>
      </c>
      <c r="F431" s="27">
        <f>F432+F499</f>
        <v>236245</v>
      </c>
      <c r="G431" s="152"/>
    </row>
    <row r="432" spans="1:7" ht="31.5" x14ac:dyDescent="0.25">
      <c r="A432" s="275" t="s">
        <v>191</v>
      </c>
      <c r="B432" s="156" t="s">
        <v>192</v>
      </c>
      <c r="C432" s="407"/>
      <c r="D432" s="27">
        <f>D433+D436+D460+D466+D476+D483+D450+D469+D463</f>
        <v>361455.30000000005</v>
      </c>
      <c r="E432" s="517">
        <f t="shared" ref="E432:F432" si="137">E433+E436+E460+E466+E476+E483+E450+E469+E463</f>
        <v>235261.6</v>
      </c>
      <c r="F432" s="517">
        <f t="shared" si="137"/>
        <v>235261.6</v>
      </c>
      <c r="G432" s="152"/>
    </row>
    <row r="433" spans="1:30" x14ac:dyDescent="0.25">
      <c r="A433" s="275" t="s">
        <v>193</v>
      </c>
      <c r="B433" s="156" t="s">
        <v>194</v>
      </c>
      <c r="C433" s="407"/>
      <c r="D433" s="27">
        <f t="shared" ref="D433:F434" si="138">D434</f>
        <v>9374.2999999999993</v>
      </c>
      <c r="E433" s="27">
        <f t="shared" si="138"/>
        <v>3451.3</v>
      </c>
      <c r="F433" s="27">
        <f t="shared" si="138"/>
        <v>3451.3</v>
      </c>
      <c r="G433" s="152"/>
    </row>
    <row r="434" spans="1:30" ht="47.25" x14ac:dyDescent="0.25">
      <c r="A434" s="273" t="s">
        <v>41</v>
      </c>
      <c r="B434" s="156" t="s">
        <v>194</v>
      </c>
      <c r="C434" s="407">
        <v>100</v>
      </c>
      <c r="D434" s="27">
        <f t="shared" si="138"/>
        <v>9374.2999999999993</v>
      </c>
      <c r="E434" s="27">
        <f t="shared" si="138"/>
        <v>3451.3</v>
      </c>
      <c r="F434" s="27">
        <f t="shared" si="138"/>
        <v>3451.3</v>
      </c>
      <c r="G434" s="152"/>
    </row>
    <row r="435" spans="1:30" x14ac:dyDescent="0.25">
      <c r="A435" s="273" t="s">
        <v>96</v>
      </c>
      <c r="B435" s="156" t="s">
        <v>194</v>
      </c>
      <c r="C435" s="407">
        <v>120</v>
      </c>
      <c r="D435" s="27">
        <f>'Функц. 2025-2027'!F22</f>
        <v>9374.2999999999993</v>
      </c>
      <c r="E435" s="27">
        <f>'Функц. 2025-2027'!H22</f>
        <v>3451.3</v>
      </c>
      <c r="F435" s="27">
        <f>'Функц. 2025-2027'!J22</f>
        <v>3451.3</v>
      </c>
      <c r="G435" s="152"/>
    </row>
    <row r="436" spans="1:30" x14ac:dyDescent="0.25">
      <c r="A436" s="275" t="s">
        <v>195</v>
      </c>
      <c r="B436" s="156" t="s">
        <v>196</v>
      </c>
      <c r="C436" s="444"/>
      <c r="D436" s="27">
        <f>D437+D444+D447</f>
        <v>112210.7</v>
      </c>
      <c r="E436" s="27">
        <f>E437+E444+E447</f>
        <v>92283</v>
      </c>
      <c r="F436" s="27">
        <f>F437+F444+F447</f>
        <v>92283</v>
      </c>
      <c r="G436" s="152"/>
    </row>
    <row r="437" spans="1:30" ht="31.5" x14ac:dyDescent="0.25">
      <c r="A437" s="400" t="s">
        <v>197</v>
      </c>
      <c r="B437" s="156" t="s">
        <v>198</v>
      </c>
      <c r="C437" s="444"/>
      <c r="D437" s="27">
        <f>D440+D438+D442</f>
        <v>11242.3</v>
      </c>
      <c r="E437" s="517">
        <f t="shared" ref="E437:F437" si="139">E440+E438+E442</f>
        <v>9487.2999999999993</v>
      </c>
      <c r="F437" s="517">
        <f t="shared" si="139"/>
        <v>9487.2999999999993</v>
      </c>
      <c r="G437" s="152"/>
    </row>
    <row r="438" spans="1:30" s="177" customFormat="1" ht="47.25" x14ac:dyDescent="0.25">
      <c r="A438" s="273" t="s">
        <v>41</v>
      </c>
      <c r="B438" s="156" t="s">
        <v>198</v>
      </c>
      <c r="C438" s="407">
        <v>100</v>
      </c>
      <c r="D438" s="27">
        <f>D439</f>
        <v>50</v>
      </c>
      <c r="E438" s="27">
        <f>E439</f>
        <v>50</v>
      </c>
      <c r="F438" s="27">
        <f>F439</f>
        <v>50</v>
      </c>
      <c r="G438" s="152"/>
    </row>
    <row r="439" spans="1:30" s="177" customFormat="1" x14ac:dyDescent="0.25">
      <c r="A439" s="273" t="s">
        <v>96</v>
      </c>
      <c r="B439" s="156" t="s">
        <v>198</v>
      </c>
      <c r="C439" s="407">
        <v>120</v>
      </c>
      <c r="D439" s="27">
        <f>'Функц. 2025-2027'!F67</f>
        <v>50</v>
      </c>
      <c r="E439" s="27">
        <f>'Функц. 2025-2027'!H67</f>
        <v>50</v>
      </c>
      <c r="F439" s="27">
        <f>'Функц. 2025-2027'!J67</f>
        <v>50</v>
      </c>
      <c r="G439" s="152"/>
    </row>
    <row r="440" spans="1:30" x14ac:dyDescent="0.25">
      <c r="A440" s="273" t="s">
        <v>120</v>
      </c>
      <c r="B440" s="156" t="s">
        <v>198</v>
      </c>
      <c r="C440" s="444">
        <v>200</v>
      </c>
      <c r="D440" s="27">
        <f>D441</f>
        <v>11192.199999999999</v>
      </c>
      <c r="E440" s="27">
        <f>E441</f>
        <v>9437.2999999999993</v>
      </c>
      <c r="F440" s="27">
        <f>F441</f>
        <v>9437.2999999999993</v>
      </c>
      <c r="G440" s="152"/>
    </row>
    <row r="441" spans="1:30" x14ac:dyDescent="0.25">
      <c r="A441" s="273" t="s">
        <v>52</v>
      </c>
      <c r="B441" s="156" t="s">
        <v>198</v>
      </c>
      <c r="C441" s="444">
        <v>240</v>
      </c>
      <c r="D441" s="27">
        <f>'Функц. 2025-2027'!F69</f>
        <v>11192.199999999999</v>
      </c>
      <c r="E441" s="27">
        <f>'Функц. 2025-2027'!H69</f>
        <v>9437.2999999999993</v>
      </c>
      <c r="F441" s="27">
        <f>'Функц. 2025-2027'!J69</f>
        <v>9437.2999999999993</v>
      </c>
      <c r="G441" s="152"/>
    </row>
    <row r="442" spans="1:30" s="519" customFormat="1" x14ac:dyDescent="0.25">
      <c r="A442" s="451" t="s">
        <v>42</v>
      </c>
      <c r="B442" s="156" t="s">
        <v>198</v>
      </c>
      <c r="C442" s="444">
        <v>800</v>
      </c>
      <c r="D442" s="517">
        <f>D443</f>
        <v>0.1</v>
      </c>
      <c r="E442" s="517">
        <f t="shared" ref="E442:AD442" si="140">E443</f>
        <v>0</v>
      </c>
      <c r="F442" s="517">
        <f t="shared" si="140"/>
        <v>0</v>
      </c>
      <c r="G442" s="517">
        <f t="shared" si="140"/>
        <v>0</v>
      </c>
      <c r="H442" s="517">
        <f t="shared" si="140"/>
        <v>0</v>
      </c>
      <c r="I442" s="517">
        <f t="shared" si="140"/>
        <v>0</v>
      </c>
      <c r="J442" s="517">
        <f t="shared" si="140"/>
        <v>0</v>
      </c>
      <c r="K442" s="517">
        <f t="shared" si="140"/>
        <v>0</v>
      </c>
      <c r="L442" s="517">
        <f t="shared" si="140"/>
        <v>0</v>
      </c>
      <c r="M442" s="517">
        <f t="shared" si="140"/>
        <v>0</v>
      </c>
      <c r="N442" s="517">
        <f t="shared" si="140"/>
        <v>0</v>
      </c>
      <c r="O442" s="517">
        <f t="shared" si="140"/>
        <v>0</v>
      </c>
      <c r="P442" s="517">
        <f t="shared" si="140"/>
        <v>0</v>
      </c>
      <c r="Q442" s="517">
        <f t="shared" si="140"/>
        <v>0</v>
      </c>
      <c r="R442" s="517">
        <f t="shared" si="140"/>
        <v>0</v>
      </c>
      <c r="S442" s="517">
        <f t="shared" si="140"/>
        <v>0</v>
      </c>
      <c r="T442" s="517">
        <f t="shared" si="140"/>
        <v>0</v>
      </c>
      <c r="U442" s="517">
        <f t="shared" si="140"/>
        <v>0</v>
      </c>
      <c r="V442" s="517">
        <f t="shared" si="140"/>
        <v>0</v>
      </c>
      <c r="W442" s="517">
        <f t="shared" si="140"/>
        <v>0</v>
      </c>
      <c r="X442" s="517">
        <f t="shared" si="140"/>
        <v>0</v>
      </c>
      <c r="Y442" s="517">
        <f t="shared" si="140"/>
        <v>0</v>
      </c>
      <c r="Z442" s="517">
        <f t="shared" si="140"/>
        <v>0</v>
      </c>
      <c r="AA442" s="517">
        <f t="shared" si="140"/>
        <v>0</v>
      </c>
      <c r="AB442" s="517">
        <f t="shared" si="140"/>
        <v>0</v>
      </c>
      <c r="AC442" s="517">
        <f t="shared" si="140"/>
        <v>0</v>
      </c>
      <c r="AD442" s="517">
        <f t="shared" si="140"/>
        <v>0</v>
      </c>
    </row>
    <row r="443" spans="1:30" s="519" customFormat="1" x14ac:dyDescent="0.25">
      <c r="A443" s="451" t="s">
        <v>57</v>
      </c>
      <c r="B443" s="156" t="s">
        <v>198</v>
      </c>
      <c r="C443" s="444">
        <v>850</v>
      </c>
      <c r="D443" s="517">
        <f>'Функц. 2025-2027'!F71</f>
        <v>0.1</v>
      </c>
      <c r="E443" s="517">
        <f>'Функц. 2025-2027'!H71</f>
        <v>0</v>
      </c>
      <c r="F443" s="517">
        <f>'Функц. 2025-2027'!J71</f>
        <v>0</v>
      </c>
      <c r="G443" s="520"/>
    </row>
    <row r="444" spans="1:30" ht="31.5" x14ac:dyDescent="0.25">
      <c r="A444" s="273" t="s">
        <v>199</v>
      </c>
      <c r="B444" s="156" t="s">
        <v>200</v>
      </c>
      <c r="C444" s="407"/>
      <c r="D444" s="27">
        <f t="shared" ref="D444:F445" si="141">D445</f>
        <v>28421.4</v>
      </c>
      <c r="E444" s="27">
        <f t="shared" si="141"/>
        <v>28421.4</v>
      </c>
      <c r="F444" s="27">
        <f t="shared" si="141"/>
        <v>28421.4</v>
      </c>
      <c r="G444" s="152"/>
    </row>
    <row r="445" spans="1:30" ht="47.25" x14ac:dyDescent="0.25">
      <c r="A445" s="273" t="s">
        <v>41</v>
      </c>
      <c r="B445" s="156" t="s">
        <v>200</v>
      </c>
      <c r="C445" s="407">
        <v>100</v>
      </c>
      <c r="D445" s="27">
        <f t="shared" si="141"/>
        <v>28421.4</v>
      </c>
      <c r="E445" s="27">
        <f t="shared" si="141"/>
        <v>28421.4</v>
      </c>
      <c r="F445" s="27">
        <f t="shared" si="141"/>
        <v>28421.4</v>
      </c>
      <c r="G445" s="152"/>
    </row>
    <row r="446" spans="1:30" x14ac:dyDescent="0.25">
      <c r="A446" s="273" t="s">
        <v>96</v>
      </c>
      <c r="B446" s="156" t="s">
        <v>200</v>
      </c>
      <c r="C446" s="444">
        <v>120</v>
      </c>
      <c r="D446" s="27">
        <f>'Функц. 2025-2027'!F74</f>
        <v>28421.4</v>
      </c>
      <c r="E446" s="27">
        <f>'Функц. 2025-2027'!H74</f>
        <v>28421.4</v>
      </c>
      <c r="F446" s="27">
        <f>'Функц. 2025-2027'!J74</f>
        <v>28421.4</v>
      </c>
      <c r="G446" s="152"/>
    </row>
    <row r="447" spans="1:30" ht="31.5" x14ac:dyDescent="0.25">
      <c r="A447" s="273" t="s">
        <v>201</v>
      </c>
      <c r="B447" s="156" t="s">
        <v>202</v>
      </c>
      <c r="C447" s="407"/>
      <c r="D447" s="27">
        <f t="shared" ref="D447:F448" si="142">D448</f>
        <v>72547</v>
      </c>
      <c r="E447" s="27">
        <f t="shared" si="142"/>
        <v>54374.3</v>
      </c>
      <c r="F447" s="27">
        <f t="shared" si="142"/>
        <v>54374.3</v>
      </c>
      <c r="G447" s="152"/>
    </row>
    <row r="448" spans="1:30" ht="47.25" x14ac:dyDescent="0.25">
      <c r="A448" s="273" t="s">
        <v>41</v>
      </c>
      <c r="B448" s="156" t="s">
        <v>202</v>
      </c>
      <c r="C448" s="407">
        <v>100</v>
      </c>
      <c r="D448" s="27">
        <f t="shared" si="142"/>
        <v>72547</v>
      </c>
      <c r="E448" s="27">
        <f t="shared" si="142"/>
        <v>54374.3</v>
      </c>
      <c r="F448" s="27">
        <f t="shared" si="142"/>
        <v>54374.3</v>
      </c>
      <c r="G448" s="152"/>
    </row>
    <row r="449" spans="1:7" x14ac:dyDescent="0.25">
      <c r="A449" s="273" t="s">
        <v>96</v>
      </c>
      <c r="B449" s="156" t="s">
        <v>202</v>
      </c>
      <c r="C449" s="444">
        <v>120</v>
      </c>
      <c r="D449" s="27">
        <f>'Функц. 2025-2027'!F77</f>
        <v>72547</v>
      </c>
      <c r="E449" s="27">
        <f>'Функц. 2025-2027'!H77</f>
        <v>54374.3</v>
      </c>
      <c r="F449" s="27">
        <f>'Функц. 2025-2027'!J77</f>
        <v>54374.3</v>
      </c>
      <c r="G449" s="152"/>
    </row>
    <row r="450" spans="1:7" x14ac:dyDescent="0.25">
      <c r="A450" s="276" t="s">
        <v>209</v>
      </c>
      <c r="B450" s="281" t="s">
        <v>210</v>
      </c>
      <c r="C450" s="444"/>
      <c r="D450" s="27">
        <f>D451+D454+D457</f>
        <v>31825.4</v>
      </c>
      <c r="E450" s="27">
        <f>E451+E454+E457</f>
        <v>31765.600000000002</v>
      </c>
      <c r="F450" s="27">
        <f>F451+F454+F457</f>
        <v>31765.600000000002</v>
      </c>
      <c r="G450" s="152"/>
    </row>
    <row r="451" spans="1:7" ht="31.5" x14ac:dyDescent="0.25">
      <c r="A451" s="273" t="s">
        <v>211</v>
      </c>
      <c r="B451" s="281" t="s">
        <v>212</v>
      </c>
      <c r="C451" s="444"/>
      <c r="D451" s="27">
        <f>D452</f>
        <v>3669.3</v>
      </c>
      <c r="E451" s="517">
        <f t="shared" ref="E451:F451" si="143">E452</f>
        <v>3657.8</v>
      </c>
      <c r="F451" s="517">
        <f t="shared" si="143"/>
        <v>3657.8</v>
      </c>
      <c r="G451" s="152"/>
    </row>
    <row r="452" spans="1:7" x14ac:dyDescent="0.25">
      <c r="A452" s="273" t="s">
        <v>120</v>
      </c>
      <c r="B452" s="281" t="s">
        <v>212</v>
      </c>
      <c r="C452" s="444">
        <v>200</v>
      </c>
      <c r="D452" s="27">
        <f>D453</f>
        <v>3669.3</v>
      </c>
      <c r="E452" s="27">
        <f>E453</f>
        <v>3657.8</v>
      </c>
      <c r="F452" s="27">
        <f>F453</f>
        <v>3657.8</v>
      </c>
      <c r="G452" s="152"/>
    </row>
    <row r="453" spans="1:7" x14ac:dyDescent="0.25">
      <c r="A453" s="273" t="s">
        <v>52</v>
      </c>
      <c r="B453" s="281" t="s">
        <v>212</v>
      </c>
      <c r="C453" s="444">
        <v>240</v>
      </c>
      <c r="D453" s="27">
        <f>'Функц. 2025-2027'!F95</f>
        <v>3669.3</v>
      </c>
      <c r="E453" s="27">
        <f>'Функц. 2025-2027'!H95</f>
        <v>3657.8</v>
      </c>
      <c r="F453" s="27">
        <f>'Функц. 2025-2027'!J95</f>
        <v>3657.8</v>
      </c>
      <c r="G453" s="152"/>
    </row>
    <row r="454" spans="1:7" ht="31.5" x14ac:dyDescent="0.25">
      <c r="A454" s="273" t="s">
        <v>216</v>
      </c>
      <c r="B454" s="26" t="str">
        <f>B455</f>
        <v>12 5 01 00162</v>
      </c>
      <c r="C454" s="444"/>
      <c r="D454" s="27">
        <f t="shared" ref="D454:F455" si="144">D455</f>
        <v>15536.1</v>
      </c>
      <c r="E454" s="27">
        <f t="shared" si="144"/>
        <v>15536.1</v>
      </c>
      <c r="F454" s="27">
        <f t="shared" si="144"/>
        <v>15536.1</v>
      </c>
      <c r="G454" s="152"/>
    </row>
    <row r="455" spans="1:7" ht="47.25" x14ac:dyDescent="0.25">
      <c r="A455" s="273" t="s">
        <v>41</v>
      </c>
      <c r="B455" s="26" t="str">
        <f>B456</f>
        <v>12 5 01 00162</v>
      </c>
      <c r="C455" s="444">
        <v>100</v>
      </c>
      <c r="D455" s="27">
        <f t="shared" si="144"/>
        <v>15536.1</v>
      </c>
      <c r="E455" s="27">
        <f t="shared" si="144"/>
        <v>15536.1</v>
      </c>
      <c r="F455" s="27">
        <f t="shared" si="144"/>
        <v>15536.1</v>
      </c>
      <c r="G455" s="152"/>
    </row>
    <row r="456" spans="1:7" x14ac:dyDescent="0.25">
      <c r="A456" s="273" t="s">
        <v>96</v>
      </c>
      <c r="B456" s="281" t="s">
        <v>213</v>
      </c>
      <c r="C456" s="444">
        <v>120</v>
      </c>
      <c r="D456" s="27">
        <f>'Функц. 2025-2027'!F98</f>
        <v>15536.1</v>
      </c>
      <c r="E456" s="27">
        <f>'Функц. 2025-2027'!H98</f>
        <v>15536.1</v>
      </c>
      <c r="F456" s="27">
        <f>'Функц. 2025-2027'!J98</f>
        <v>15536.1</v>
      </c>
      <c r="G456" s="152"/>
    </row>
    <row r="457" spans="1:7" ht="31.5" x14ac:dyDescent="0.25">
      <c r="A457" s="273" t="s">
        <v>215</v>
      </c>
      <c r="B457" s="26" t="str">
        <f>B458</f>
        <v>12 5 01 00163</v>
      </c>
      <c r="C457" s="444"/>
      <c r="D457" s="27">
        <f t="shared" ref="D457:F458" si="145">D458</f>
        <v>12620</v>
      </c>
      <c r="E457" s="27">
        <f t="shared" si="145"/>
        <v>12571.7</v>
      </c>
      <c r="F457" s="27">
        <f t="shared" si="145"/>
        <v>12571.7</v>
      </c>
      <c r="G457" s="152"/>
    </row>
    <row r="458" spans="1:7" ht="47.25" x14ac:dyDescent="0.25">
      <c r="A458" s="273" t="s">
        <v>41</v>
      </c>
      <c r="B458" s="26" t="str">
        <f>B459</f>
        <v>12 5 01 00163</v>
      </c>
      <c r="C458" s="444">
        <v>100</v>
      </c>
      <c r="D458" s="27">
        <f t="shared" si="145"/>
        <v>12620</v>
      </c>
      <c r="E458" s="27">
        <f t="shared" si="145"/>
        <v>12571.7</v>
      </c>
      <c r="F458" s="27">
        <f t="shared" si="145"/>
        <v>12571.7</v>
      </c>
      <c r="G458" s="152"/>
    </row>
    <row r="459" spans="1:7" x14ac:dyDescent="0.25">
      <c r="A459" s="273" t="s">
        <v>96</v>
      </c>
      <c r="B459" s="281" t="s">
        <v>214</v>
      </c>
      <c r="C459" s="444">
        <v>120</v>
      </c>
      <c r="D459" s="27">
        <f>'Функц. 2025-2027'!F101</f>
        <v>12620</v>
      </c>
      <c r="E459" s="27">
        <f>'Функц. 2025-2027'!H101</f>
        <v>12571.7</v>
      </c>
      <c r="F459" s="27">
        <f>'Функц. 2025-2027'!J101</f>
        <v>12571.7</v>
      </c>
      <c r="G459" s="152"/>
    </row>
    <row r="460" spans="1:7" x14ac:dyDescent="0.25">
      <c r="A460" s="276" t="s">
        <v>221</v>
      </c>
      <c r="B460" s="281" t="s">
        <v>222</v>
      </c>
      <c r="C460" s="594"/>
      <c r="D460" s="27">
        <f t="shared" ref="D460:F461" si="146">D461</f>
        <v>650</v>
      </c>
      <c r="E460" s="27">
        <f t="shared" si="146"/>
        <v>74</v>
      </c>
      <c r="F460" s="27">
        <f t="shared" si="146"/>
        <v>74</v>
      </c>
      <c r="G460" s="152"/>
    </row>
    <row r="461" spans="1:7" x14ac:dyDescent="0.25">
      <c r="A461" s="273" t="s">
        <v>120</v>
      </c>
      <c r="B461" s="281" t="s">
        <v>222</v>
      </c>
      <c r="C461" s="602">
        <v>200</v>
      </c>
      <c r="D461" s="27">
        <f t="shared" si="146"/>
        <v>650</v>
      </c>
      <c r="E461" s="27">
        <f t="shared" si="146"/>
        <v>74</v>
      </c>
      <c r="F461" s="27">
        <f t="shared" si="146"/>
        <v>74</v>
      </c>
      <c r="G461" s="152"/>
    </row>
    <row r="462" spans="1:7" x14ac:dyDescent="0.25">
      <c r="A462" s="273" t="s">
        <v>52</v>
      </c>
      <c r="B462" s="281" t="s">
        <v>222</v>
      </c>
      <c r="C462" s="602">
        <v>240</v>
      </c>
      <c r="D462" s="27">
        <f>'Функц. 2025-2027'!F233</f>
        <v>650</v>
      </c>
      <c r="E462" s="27">
        <f>'Функц. 2025-2027'!H233</f>
        <v>74</v>
      </c>
      <c r="F462" s="27">
        <f>'Функц. 2025-2027'!J233</f>
        <v>74</v>
      </c>
      <c r="G462" s="152"/>
    </row>
    <row r="463" spans="1:7" s="519" customFormat="1" x14ac:dyDescent="0.25">
      <c r="A463" s="451" t="s">
        <v>821</v>
      </c>
      <c r="B463" s="542" t="s">
        <v>822</v>
      </c>
      <c r="C463" s="454"/>
      <c r="D463" s="517">
        <f>D464</f>
        <v>30000</v>
      </c>
      <c r="E463" s="517">
        <f t="shared" ref="E463:F464" si="147">E464</f>
        <v>0</v>
      </c>
      <c r="F463" s="517">
        <f t="shared" si="147"/>
        <v>0</v>
      </c>
      <c r="G463" s="520"/>
    </row>
    <row r="464" spans="1:7" s="519" customFormat="1" x14ac:dyDescent="0.25">
      <c r="A464" s="451" t="s">
        <v>42</v>
      </c>
      <c r="B464" s="542" t="s">
        <v>822</v>
      </c>
      <c r="C464" s="454">
        <v>800</v>
      </c>
      <c r="D464" s="517">
        <f>D465</f>
        <v>30000</v>
      </c>
      <c r="E464" s="517">
        <f t="shared" si="147"/>
        <v>0</v>
      </c>
      <c r="F464" s="517">
        <f t="shared" si="147"/>
        <v>0</v>
      </c>
      <c r="G464" s="520"/>
    </row>
    <row r="465" spans="1:30" s="519" customFormat="1" ht="31.5" x14ac:dyDescent="0.25">
      <c r="A465" s="451" t="s">
        <v>121</v>
      </c>
      <c r="B465" s="542" t="s">
        <v>822</v>
      </c>
      <c r="C465" s="454">
        <v>810</v>
      </c>
      <c r="D465" s="517">
        <f>'Функц. 2025-2027'!F438</f>
        <v>30000</v>
      </c>
      <c r="E465" s="517">
        <f>'Функц. 2025-2027'!H438</f>
        <v>0</v>
      </c>
      <c r="F465" s="517">
        <f>'Функц. 2025-2027'!J437</f>
        <v>0</v>
      </c>
      <c r="G465" s="520"/>
    </row>
    <row r="466" spans="1:30" x14ac:dyDescent="0.25">
      <c r="A466" s="276" t="s">
        <v>223</v>
      </c>
      <c r="B466" s="281" t="s">
        <v>224</v>
      </c>
      <c r="C466" s="444"/>
      <c r="D466" s="27">
        <f t="shared" ref="D466:F467" si="148">D467</f>
        <v>160</v>
      </c>
      <c r="E466" s="27">
        <f t="shared" si="148"/>
        <v>160</v>
      </c>
      <c r="F466" s="27">
        <f t="shared" si="148"/>
        <v>160</v>
      </c>
      <c r="G466" s="152"/>
    </row>
    <row r="467" spans="1:30" x14ac:dyDescent="0.25">
      <c r="A467" s="273" t="s">
        <v>42</v>
      </c>
      <c r="B467" s="281" t="s">
        <v>224</v>
      </c>
      <c r="C467" s="444">
        <v>800</v>
      </c>
      <c r="D467" s="27">
        <f t="shared" si="148"/>
        <v>160</v>
      </c>
      <c r="E467" s="27">
        <f t="shared" si="148"/>
        <v>160</v>
      </c>
      <c r="F467" s="27">
        <f t="shared" si="148"/>
        <v>160</v>
      </c>
      <c r="G467" s="152"/>
    </row>
    <row r="468" spans="1:30" x14ac:dyDescent="0.25">
      <c r="A468" s="273" t="s">
        <v>57</v>
      </c>
      <c r="B468" s="281" t="s">
        <v>224</v>
      </c>
      <c r="C468" s="444">
        <v>850</v>
      </c>
      <c r="D468" s="27">
        <f>'Функц. 2025-2027'!F164</f>
        <v>160</v>
      </c>
      <c r="E468" s="27">
        <f>'Функц. 2025-2027'!H164</f>
        <v>160</v>
      </c>
      <c r="F468" s="27">
        <f>'Функц. 2025-2027'!J164</f>
        <v>160</v>
      </c>
      <c r="G468" s="152"/>
    </row>
    <row r="469" spans="1:30" s="177" customFormat="1" ht="31.5" x14ac:dyDescent="0.25">
      <c r="A469" s="258" t="s">
        <v>551</v>
      </c>
      <c r="B469" s="281" t="s">
        <v>550</v>
      </c>
      <c r="C469" s="444"/>
      <c r="D469" s="27">
        <f>D470+D472+D474</f>
        <v>17438.399999999998</v>
      </c>
      <c r="E469" s="517">
        <f t="shared" ref="E469:F469" si="149">E470+E472+E474</f>
        <v>13813</v>
      </c>
      <c r="F469" s="517">
        <f t="shared" si="149"/>
        <v>13813</v>
      </c>
      <c r="G469" s="152"/>
    </row>
    <row r="470" spans="1:30" s="177" customFormat="1" ht="47.25" x14ac:dyDescent="0.25">
      <c r="A470" s="523" t="s">
        <v>41</v>
      </c>
      <c r="B470" s="281" t="s">
        <v>550</v>
      </c>
      <c r="C470" s="525" t="s">
        <v>127</v>
      </c>
      <c r="D470" s="27">
        <f>D471</f>
        <v>16527.099999999999</v>
      </c>
      <c r="E470" s="27">
        <f>E471</f>
        <v>12901.7</v>
      </c>
      <c r="F470" s="27">
        <f>F471</f>
        <v>12901.7</v>
      </c>
      <c r="G470" s="152"/>
    </row>
    <row r="471" spans="1:30" s="177" customFormat="1" x14ac:dyDescent="0.25">
      <c r="A471" s="523" t="s">
        <v>68</v>
      </c>
      <c r="B471" s="281" t="s">
        <v>550</v>
      </c>
      <c r="C471" s="525" t="s">
        <v>128</v>
      </c>
      <c r="D471" s="27">
        <f>'Функц. 2025-2027'!F167</f>
        <v>16527.099999999999</v>
      </c>
      <c r="E471" s="27">
        <f>'Функц. 2025-2027'!H167</f>
        <v>12901.7</v>
      </c>
      <c r="F471" s="27">
        <f>'Функц. 2025-2027'!J167</f>
        <v>12901.7</v>
      </c>
      <c r="G471" s="152"/>
    </row>
    <row r="472" spans="1:30" s="177" customFormat="1" x14ac:dyDescent="0.25">
      <c r="A472" s="523" t="s">
        <v>120</v>
      </c>
      <c r="B472" s="281" t="s">
        <v>550</v>
      </c>
      <c r="C472" s="525" t="s">
        <v>37</v>
      </c>
      <c r="D472" s="27">
        <f>D473</f>
        <v>911.19999999999993</v>
      </c>
      <c r="E472" s="27">
        <f>E473</f>
        <v>911.3</v>
      </c>
      <c r="F472" s="27">
        <f>F473</f>
        <v>911.3</v>
      </c>
      <c r="G472" s="152"/>
    </row>
    <row r="473" spans="1:30" s="177" customFormat="1" x14ac:dyDescent="0.25">
      <c r="A473" s="523" t="s">
        <v>52</v>
      </c>
      <c r="B473" s="281" t="s">
        <v>550</v>
      </c>
      <c r="C473" s="525" t="s">
        <v>65</v>
      </c>
      <c r="D473" s="27">
        <f>'Функц. 2025-2027'!F169</f>
        <v>911.19999999999993</v>
      </c>
      <c r="E473" s="27">
        <f>'Функц. 2025-2027'!H169</f>
        <v>911.3</v>
      </c>
      <c r="F473" s="27">
        <f>'Функц. 2025-2027'!J169</f>
        <v>911.3</v>
      </c>
      <c r="G473" s="152"/>
    </row>
    <row r="474" spans="1:30" s="519" customFormat="1" x14ac:dyDescent="0.25">
      <c r="A474" s="451" t="s">
        <v>42</v>
      </c>
      <c r="B474" s="281" t="s">
        <v>550</v>
      </c>
      <c r="C474" s="444">
        <v>800</v>
      </c>
      <c r="D474" s="517">
        <f>D475</f>
        <v>0.1</v>
      </c>
      <c r="E474" s="517">
        <f t="shared" ref="E474:AD474" si="150">E475</f>
        <v>0</v>
      </c>
      <c r="F474" s="517">
        <f t="shared" si="150"/>
        <v>0</v>
      </c>
      <c r="G474" s="517">
        <f t="shared" si="150"/>
        <v>0</v>
      </c>
      <c r="H474" s="517">
        <f t="shared" si="150"/>
        <v>0</v>
      </c>
      <c r="I474" s="517">
        <f t="shared" si="150"/>
        <v>0</v>
      </c>
      <c r="J474" s="517">
        <f t="shared" si="150"/>
        <v>0</v>
      </c>
      <c r="K474" s="517">
        <f t="shared" si="150"/>
        <v>0</v>
      </c>
      <c r="L474" s="517">
        <f t="shared" si="150"/>
        <v>0</v>
      </c>
      <c r="M474" s="517">
        <f t="shared" si="150"/>
        <v>0</v>
      </c>
      <c r="N474" s="517">
        <f t="shared" si="150"/>
        <v>0</v>
      </c>
      <c r="O474" s="517">
        <f t="shared" si="150"/>
        <v>0</v>
      </c>
      <c r="P474" s="517">
        <f t="shared" si="150"/>
        <v>0</v>
      </c>
      <c r="Q474" s="517">
        <f t="shared" si="150"/>
        <v>0</v>
      </c>
      <c r="R474" s="517">
        <f t="shared" si="150"/>
        <v>0</v>
      </c>
      <c r="S474" s="517">
        <f t="shared" si="150"/>
        <v>0</v>
      </c>
      <c r="T474" s="517">
        <f t="shared" si="150"/>
        <v>0</v>
      </c>
      <c r="U474" s="517">
        <f t="shared" si="150"/>
        <v>0</v>
      </c>
      <c r="V474" s="517">
        <f t="shared" si="150"/>
        <v>0</v>
      </c>
      <c r="W474" s="517">
        <f t="shared" si="150"/>
        <v>0</v>
      </c>
      <c r="X474" s="517">
        <f t="shared" si="150"/>
        <v>0</v>
      </c>
      <c r="Y474" s="517">
        <f t="shared" si="150"/>
        <v>0</v>
      </c>
      <c r="Z474" s="517">
        <f t="shared" si="150"/>
        <v>0</v>
      </c>
      <c r="AA474" s="517">
        <f t="shared" si="150"/>
        <v>0</v>
      </c>
      <c r="AB474" s="517">
        <f t="shared" si="150"/>
        <v>0</v>
      </c>
      <c r="AC474" s="517">
        <f t="shared" si="150"/>
        <v>0</v>
      </c>
      <c r="AD474" s="517">
        <f t="shared" si="150"/>
        <v>0</v>
      </c>
    </row>
    <row r="475" spans="1:30" s="519" customFormat="1" x14ac:dyDescent="0.25">
      <c r="A475" s="451" t="s">
        <v>57</v>
      </c>
      <c r="B475" s="281" t="s">
        <v>550</v>
      </c>
      <c r="C475" s="444">
        <v>850</v>
      </c>
      <c r="D475" s="517">
        <f>'Функц. 2025-2027'!F171</f>
        <v>0.1</v>
      </c>
      <c r="E475" s="517">
        <f>'Функц. 2025-2027'!H171</f>
        <v>0</v>
      </c>
      <c r="F475" s="517">
        <f>'Функц. 2025-2027'!J171</f>
        <v>0</v>
      </c>
      <c r="G475" s="520"/>
    </row>
    <row r="476" spans="1:30" ht="31.5" x14ac:dyDescent="0.25">
      <c r="A476" s="276" t="s">
        <v>217</v>
      </c>
      <c r="B476" s="281" t="s">
        <v>218</v>
      </c>
      <c r="C476" s="407"/>
      <c r="D476" s="27">
        <f>D481+D477+D479</f>
        <v>26390.199999999997</v>
      </c>
      <c r="E476" s="517">
        <f t="shared" ref="E476:F476" si="151">E481+E477+E479</f>
        <v>26390.2</v>
      </c>
      <c r="F476" s="517">
        <f t="shared" si="151"/>
        <v>26390.2</v>
      </c>
      <c r="G476" s="152"/>
    </row>
    <row r="477" spans="1:30" s="519" customFormat="1" ht="47.25" x14ac:dyDescent="0.25">
      <c r="A477" s="375" t="s">
        <v>41</v>
      </c>
      <c r="B477" s="281" t="s">
        <v>218</v>
      </c>
      <c r="C477" s="473" t="s">
        <v>127</v>
      </c>
      <c r="D477" s="517">
        <f>D478</f>
        <v>13228.4</v>
      </c>
      <c r="E477" s="517">
        <f t="shared" ref="E477:F477" si="152">E478</f>
        <v>24918.400000000001</v>
      </c>
      <c r="F477" s="517">
        <f t="shared" si="152"/>
        <v>24918.400000000001</v>
      </c>
      <c r="G477" s="520"/>
    </row>
    <row r="478" spans="1:30" s="519" customFormat="1" x14ac:dyDescent="0.25">
      <c r="A478" s="375" t="s">
        <v>68</v>
      </c>
      <c r="B478" s="281" t="s">
        <v>218</v>
      </c>
      <c r="C478" s="473" t="s">
        <v>128</v>
      </c>
      <c r="D478" s="517">
        <f>'Функц. 2025-2027'!F174</f>
        <v>13228.4</v>
      </c>
      <c r="E478" s="517">
        <f>'Функц. 2025-2027'!H174</f>
        <v>24918.400000000001</v>
      </c>
      <c r="F478" s="517">
        <f>'Функц. 2025-2027'!J174</f>
        <v>24918.400000000001</v>
      </c>
      <c r="G478" s="520"/>
    </row>
    <row r="479" spans="1:30" s="519" customFormat="1" x14ac:dyDescent="0.25">
      <c r="A479" s="375" t="s">
        <v>120</v>
      </c>
      <c r="B479" s="281" t="s">
        <v>218</v>
      </c>
      <c r="C479" s="473" t="s">
        <v>37</v>
      </c>
      <c r="D479" s="517">
        <f>D480</f>
        <v>556.1</v>
      </c>
      <c r="E479" s="517">
        <f t="shared" ref="E479:F479" si="153">E480</f>
        <v>1471.8</v>
      </c>
      <c r="F479" s="517">
        <f t="shared" si="153"/>
        <v>1471.8</v>
      </c>
      <c r="G479" s="520"/>
    </row>
    <row r="480" spans="1:30" s="519" customFormat="1" x14ac:dyDescent="0.25">
      <c r="A480" s="375" t="s">
        <v>52</v>
      </c>
      <c r="B480" s="281" t="s">
        <v>218</v>
      </c>
      <c r="C480" s="473" t="s">
        <v>65</v>
      </c>
      <c r="D480" s="517">
        <f>'Функц. 2025-2027'!F176</f>
        <v>556.1</v>
      </c>
      <c r="E480" s="517">
        <f>'Функц. 2025-2027'!H176</f>
        <v>1471.8</v>
      </c>
      <c r="F480" s="517">
        <f>'Функц. 2025-2027'!J176</f>
        <v>1471.8</v>
      </c>
      <c r="G480" s="520"/>
    </row>
    <row r="481" spans="1:30" ht="31.5" x14ac:dyDescent="0.25">
      <c r="A481" s="273" t="s">
        <v>60</v>
      </c>
      <c r="B481" s="281" t="s">
        <v>218</v>
      </c>
      <c r="C481" s="608">
        <v>600</v>
      </c>
      <c r="D481" s="27">
        <f t="shared" ref="D481:F481" si="154">D482</f>
        <v>12605.7</v>
      </c>
      <c r="E481" s="27">
        <f t="shared" si="154"/>
        <v>0</v>
      </c>
      <c r="F481" s="27">
        <f t="shared" si="154"/>
        <v>0</v>
      </c>
      <c r="G481" s="152"/>
    </row>
    <row r="482" spans="1:30" x14ac:dyDescent="0.25">
      <c r="A482" s="273" t="s">
        <v>61</v>
      </c>
      <c r="B482" s="281" t="s">
        <v>218</v>
      </c>
      <c r="C482" s="608">
        <v>610</v>
      </c>
      <c r="D482" s="27">
        <f>'Функц. 2025-2027'!F178</f>
        <v>12605.7</v>
      </c>
      <c r="E482" s="27">
        <f>'Функц. 2025-2027'!H178</f>
        <v>0</v>
      </c>
      <c r="F482" s="27">
        <f>'Функц. 2025-2027'!J178</f>
        <v>0</v>
      </c>
      <c r="G482" s="152"/>
    </row>
    <row r="483" spans="1:30" ht="31.5" x14ac:dyDescent="0.25">
      <c r="A483" s="276" t="s">
        <v>203</v>
      </c>
      <c r="B483" s="281" t="s">
        <v>204</v>
      </c>
      <c r="C483" s="444"/>
      <c r="D483" s="27">
        <f>D484+D496+D489</f>
        <v>133406.29999999999</v>
      </c>
      <c r="E483" s="27">
        <f>E484+E496+E489</f>
        <v>67324.5</v>
      </c>
      <c r="F483" s="27">
        <f>F484+F496+F489</f>
        <v>67324.5</v>
      </c>
      <c r="G483" s="152"/>
    </row>
    <row r="484" spans="1:30" ht="47.25" x14ac:dyDescent="0.25">
      <c r="A484" s="273" t="s">
        <v>219</v>
      </c>
      <c r="B484" s="281" t="s">
        <v>220</v>
      </c>
      <c r="C484" s="525"/>
      <c r="D484" s="27">
        <f>D485+D487</f>
        <v>79325.799999999988</v>
      </c>
      <c r="E484" s="27">
        <f>E485+E487</f>
        <v>27679.600000000002</v>
      </c>
      <c r="F484" s="27">
        <f>F485+F487</f>
        <v>27679.600000000002</v>
      </c>
      <c r="G484" s="152"/>
    </row>
    <row r="485" spans="1:30" ht="47.25" x14ac:dyDescent="0.25">
      <c r="A485" s="273" t="s">
        <v>41</v>
      </c>
      <c r="B485" s="281" t="s">
        <v>220</v>
      </c>
      <c r="C485" s="525" t="s">
        <v>127</v>
      </c>
      <c r="D485" s="27">
        <f>D486</f>
        <v>78583.899999999994</v>
      </c>
      <c r="E485" s="27">
        <f>E486</f>
        <v>26937.7</v>
      </c>
      <c r="F485" s="27">
        <f>F486</f>
        <v>26937.7</v>
      </c>
      <c r="G485" s="152"/>
    </row>
    <row r="486" spans="1:30" x14ac:dyDescent="0.25">
      <c r="A486" s="273" t="s">
        <v>68</v>
      </c>
      <c r="B486" s="281" t="s">
        <v>220</v>
      </c>
      <c r="C486" s="525" t="s">
        <v>128</v>
      </c>
      <c r="D486" s="27">
        <f>'Функц. 2025-2027'!F182</f>
        <v>78583.899999999994</v>
      </c>
      <c r="E486" s="27">
        <f>'Функц. 2025-2027'!H182</f>
        <v>26937.7</v>
      </c>
      <c r="F486" s="27">
        <f>'Функц. 2025-2027'!J182</f>
        <v>26937.7</v>
      </c>
      <c r="G486" s="152"/>
    </row>
    <row r="487" spans="1:30" x14ac:dyDescent="0.25">
      <c r="A487" s="273" t="s">
        <v>120</v>
      </c>
      <c r="B487" s="281" t="s">
        <v>220</v>
      </c>
      <c r="C487" s="525" t="s">
        <v>37</v>
      </c>
      <c r="D487" s="27">
        <f>D488</f>
        <v>741.9</v>
      </c>
      <c r="E487" s="27">
        <f>E488</f>
        <v>741.9</v>
      </c>
      <c r="F487" s="27">
        <f>F488</f>
        <v>741.9</v>
      </c>
      <c r="G487" s="152"/>
    </row>
    <row r="488" spans="1:30" x14ac:dyDescent="0.25">
      <c r="A488" s="273" t="s">
        <v>52</v>
      </c>
      <c r="B488" s="281" t="s">
        <v>220</v>
      </c>
      <c r="C488" s="525" t="s">
        <v>65</v>
      </c>
      <c r="D488" s="27">
        <f>'Функц. 2025-2027'!F184</f>
        <v>741.9</v>
      </c>
      <c r="E488" s="32">
        <f>'Функц. 2025-2027'!H184</f>
        <v>741.9</v>
      </c>
      <c r="F488" s="32">
        <f>'Функц. 2025-2027'!J184</f>
        <v>741.9</v>
      </c>
      <c r="G488" s="152"/>
    </row>
    <row r="489" spans="1:30" s="177" customFormat="1" ht="47.25" x14ac:dyDescent="0.25">
      <c r="A489" s="273" t="s">
        <v>384</v>
      </c>
      <c r="B489" s="281" t="s">
        <v>385</v>
      </c>
      <c r="C489" s="525"/>
      <c r="D489" s="27">
        <f>D490+D492+D494</f>
        <v>19597.599999999999</v>
      </c>
      <c r="E489" s="517">
        <f t="shared" ref="E489:F489" si="155">E490+E492+E494</f>
        <v>9307.6</v>
      </c>
      <c r="F489" s="517">
        <f t="shared" si="155"/>
        <v>9307.6</v>
      </c>
      <c r="G489" s="152"/>
    </row>
    <row r="490" spans="1:30" s="177" customFormat="1" ht="47.25" x14ac:dyDescent="0.25">
      <c r="A490" s="273" t="s">
        <v>41</v>
      </c>
      <c r="B490" s="281" t="s">
        <v>385</v>
      </c>
      <c r="C490" s="525" t="s">
        <v>127</v>
      </c>
      <c r="D490" s="27">
        <f>D491</f>
        <v>18603.599999999999</v>
      </c>
      <c r="E490" s="27">
        <f>E491</f>
        <v>8603.6</v>
      </c>
      <c r="F490" s="27">
        <f>F491</f>
        <v>8603.6</v>
      </c>
      <c r="G490" s="152"/>
    </row>
    <row r="491" spans="1:30" s="177" customFormat="1" x14ac:dyDescent="0.25">
      <c r="A491" s="273" t="s">
        <v>68</v>
      </c>
      <c r="B491" s="281" t="s">
        <v>385</v>
      </c>
      <c r="C491" s="525" t="s">
        <v>128</v>
      </c>
      <c r="D491" s="27">
        <f>'Функц. 2025-2027'!F187</f>
        <v>18603.599999999999</v>
      </c>
      <c r="E491" s="27">
        <f>'Функц. 2025-2027'!H187</f>
        <v>8603.6</v>
      </c>
      <c r="F491" s="27">
        <f>'Функц. 2025-2027'!J187</f>
        <v>8603.6</v>
      </c>
      <c r="G491" s="152"/>
    </row>
    <row r="492" spans="1:30" s="177" customFormat="1" x14ac:dyDescent="0.25">
      <c r="A492" s="273" t="s">
        <v>120</v>
      </c>
      <c r="B492" s="281" t="s">
        <v>385</v>
      </c>
      <c r="C492" s="525" t="s">
        <v>37</v>
      </c>
      <c r="D492" s="27">
        <f>D493</f>
        <v>993.3</v>
      </c>
      <c r="E492" s="27">
        <f>E493</f>
        <v>704</v>
      </c>
      <c r="F492" s="27">
        <f>F493</f>
        <v>704</v>
      </c>
      <c r="G492" s="152"/>
    </row>
    <row r="493" spans="1:30" s="177" customFormat="1" x14ac:dyDescent="0.25">
      <c r="A493" s="273" t="s">
        <v>52</v>
      </c>
      <c r="B493" s="281" t="s">
        <v>385</v>
      </c>
      <c r="C493" s="525" t="s">
        <v>65</v>
      </c>
      <c r="D493" s="27">
        <f>'Функц. 2025-2027'!F189</f>
        <v>993.3</v>
      </c>
      <c r="E493" s="27">
        <f>'Функц. 2025-2027'!H189</f>
        <v>704</v>
      </c>
      <c r="F493" s="27">
        <f>'Функц. 2025-2027'!J189</f>
        <v>704</v>
      </c>
      <c r="G493" s="152"/>
    </row>
    <row r="494" spans="1:30" s="519" customFormat="1" x14ac:dyDescent="0.25">
      <c r="A494" s="451" t="s">
        <v>42</v>
      </c>
      <c r="B494" s="544" t="s">
        <v>385</v>
      </c>
      <c r="C494" s="473" t="s">
        <v>347</v>
      </c>
      <c r="D494" s="517">
        <f>D495</f>
        <v>0.7</v>
      </c>
      <c r="E494" s="517">
        <f t="shared" ref="E494:AD494" si="156">E495</f>
        <v>0</v>
      </c>
      <c r="F494" s="517">
        <f t="shared" si="156"/>
        <v>0</v>
      </c>
      <c r="G494" s="517">
        <f t="shared" si="156"/>
        <v>0</v>
      </c>
      <c r="H494" s="517">
        <f t="shared" si="156"/>
        <v>0</v>
      </c>
      <c r="I494" s="517">
        <f t="shared" si="156"/>
        <v>0</v>
      </c>
      <c r="J494" s="517">
        <f t="shared" si="156"/>
        <v>0</v>
      </c>
      <c r="K494" s="517">
        <f t="shared" si="156"/>
        <v>0</v>
      </c>
      <c r="L494" s="517">
        <f t="shared" si="156"/>
        <v>0</v>
      </c>
      <c r="M494" s="517">
        <f t="shared" si="156"/>
        <v>0</v>
      </c>
      <c r="N494" s="517">
        <f t="shared" si="156"/>
        <v>0</v>
      </c>
      <c r="O494" s="517">
        <f t="shared" si="156"/>
        <v>0</v>
      </c>
      <c r="P494" s="517">
        <f t="shared" si="156"/>
        <v>0</v>
      </c>
      <c r="Q494" s="517">
        <f t="shared" si="156"/>
        <v>0</v>
      </c>
      <c r="R494" s="517">
        <f t="shared" si="156"/>
        <v>0</v>
      </c>
      <c r="S494" s="517">
        <f t="shared" si="156"/>
        <v>0</v>
      </c>
      <c r="T494" s="517">
        <f t="shared" si="156"/>
        <v>0</v>
      </c>
      <c r="U494" s="517">
        <f t="shared" si="156"/>
        <v>0</v>
      </c>
      <c r="V494" s="517">
        <f t="shared" si="156"/>
        <v>0</v>
      </c>
      <c r="W494" s="517">
        <f t="shared" si="156"/>
        <v>0</v>
      </c>
      <c r="X494" s="517">
        <f t="shared" si="156"/>
        <v>0</v>
      </c>
      <c r="Y494" s="517">
        <f t="shared" si="156"/>
        <v>0</v>
      </c>
      <c r="Z494" s="517">
        <f t="shared" si="156"/>
        <v>0</v>
      </c>
      <c r="AA494" s="517">
        <f t="shared" si="156"/>
        <v>0</v>
      </c>
      <c r="AB494" s="517">
        <f t="shared" si="156"/>
        <v>0</v>
      </c>
      <c r="AC494" s="517">
        <f t="shared" si="156"/>
        <v>0</v>
      </c>
      <c r="AD494" s="517">
        <f t="shared" si="156"/>
        <v>0</v>
      </c>
    </row>
    <row r="495" spans="1:30" s="519" customFormat="1" x14ac:dyDescent="0.25">
      <c r="A495" s="451" t="s">
        <v>57</v>
      </c>
      <c r="B495" s="544" t="s">
        <v>385</v>
      </c>
      <c r="C495" s="473" t="s">
        <v>824</v>
      </c>
      <c r="D495" s="517">
        <f>'Функц. 2025-2027'!F191</f>
        <v>0.7</v>
      </c>
      <c r="E495" s="517">
        <f>'Функц. 2025-2027'!H191</f>
        <v>0</v>
      </c>
      <c r="F495" s="517">
        <f>'Функц. 2025-2027'!J191</f>
        <v>0</v>
      </c>
      <c r="G495" s="520"/>
    </row>
    <row r="496" spans="1:30" ht="47.25" x14ac:dyDescent="0.25">
      <c r="A496" s="258" t="s">
        <v>369</v>
      </c>
      <c r="B496" s="281" t="s">
        <v>316</v>
      </c>
      <c r="C496" s="607"/>
      <c r="D496" s="27">
        <f t="shared" ref="D496:F497" si="157">D497</f>
        <v>34482.9</v>
      </c>
      <c r="E496" s="27">
        <f t="shared" si="157"/>
        <v>30337.3</v>
      </c>
      <c r="F496" s="27">
        <f t="shared" si="157"/>
        <v>30337.3</v>
      </c>
      <c r="G496" s="152"/>
    </row>
    <row r="497" spans="1:7" ht="31.5" x14ac:dyDescent="0.25">
      <c r="A497" s="393" t="s">
        <v>60</v>
      </c>
      <c r="B497" s="281" t="s">
        <v>316</v>
      </c>
      <c r="C497" s="607">
        <v>600</v>
      </c>
      <c r="D497" s="27">
        <f t="shared" si="157"/>
        <v>34482.9</v>
      </c>
      <c r="E497" s="27">
        <f t="shared" si="157"/>
        <v>30337.3</v>
      </c>
      <c r="F497" s="27">
        <f t="shared" si="157"/>
        <v>30337.3</v>
      </c>
      <c r="G497" s="152"/>
    </row>
    <row r="498" spans="1:7" x14ac:dyDescent="0.25">
      <c r="A498" s="393" t="s">
        <v>61</v>
      </c>
      <c r="B498" s="281" t="s">
        <v>316</v>
      </c>
      <c r="C498" s="607">
        <v>610</v>
      </c>
      <c r="D498" s="27">
        <f>'Функц. 2025-2027'!F321</f>
        <v>34482.9</v>
      </c>
      <c r="E498" s="27">
        <f>'Функц. 2025-2027'!H321</f>
        <v>30337.3</v>
      </c>
      <c r="F498" s="27">
        <f>'Функц. 2025-2027'!J321</f>
        <v>30337.3</v>
      </c>
      <c r="G498" s="152"/>
    </row>
    <row r="499" spans="1:7" s="177" customFormat="1" ht="31.5" x14ac:dyDescent="0.25">
      <c r="A499" s="393" t="s">
        <v>534</v>
      </c>
      <c r="B499" s="281" t="s">
        <v>535</v>
      </c>
      <c r="C499" s="607"/>
      <c r="D499" s="27">
        <f t="shared" ref="D499:F501" si="158">D500</f>
        <v>1019.3000000000001</v>
      </c>
      <c r="E499" s="27">
        <f t="shared" si="158"/>
        <v>830.09999999999991</v>
      </c>
      <c r="F499" s="27">
        <f t="shared" si="158"/>
        <v>983.4</v>
      </c>
      <c r="G499" s="152"/>
    </row>
    <row r="500" spans="1:7" s="177" customFormat="1" ht="78.75" x14ac:dyDescent="0.25">
      <c r="A500" s="393" t="s">
        <v>406</v>
      </c>
      <c r="B500" s="281" t="s">
        <v>536</v>
      </c>
      <c r="C500" s="607"/>
      <c r="D500" s="27">
        <f t="shared" si="158"/>
        <v>1019.3000000000001</v>
      </c>
      <c r="E500" s="27">
        <f t="shared" si="158"/>
        <v>830.09999999999991</v>
      </c>
      <c r="F500" s="27">
        <f t="shared" si="158"/>
        <v>983.4</v>
      </c>
      <c r="G500" s="152"/>
    </row>
    <row r="501" spans="1:7" s="177" customFormat="1" x14ac:dyDescent="0.25">
      <c r="A501" s="523" t="s">
        <v>120</v>
      </c>
      <c r="B501" s="156" t="s">
        <v>536</v>
      </c>
      <c r="C501" s="444">
        <v>200</v>
      </c>
      <c r="D501" s="27">
        <f t="shared" si="158"/>
        <v>1019.3000000000001</v>
      </c>
      <c r="E501" s="27">
        <f t="shared" si="158"/>
        <v>830.09999999999991</v>
      </c>
      <c r="F501" s="27">
        <f t="shared" si="158"/>
        <v>983.4</v>
      </c>
      <c r="G501" s="152"/>
    </row>
    <row r="502" spans="1:7" s="177" customFormat="1" x14ac:dyDescent="0.25">
      <c r="A502" s="523" t="s">
        <v>52</v>
      </c>
      <c r="B502" s="156" t="s">
        <v>536</v>
      </c>
      <c r="C502" s="444">
        <v>240</v>
      </c>
      <c r="D502" s="27">
        <f>'Функц. 2025-2027'!F81+'Функц. 2025-2027'!F105+'Функц. 2025-2027'!F531+'Функц. 2025-2027'!F195+'Функц. 2025-2027'!F29+'Функц. 2025-2027'!F287</f>
        <v>1019.3000000000001</v>
      </c>
      <c r="E502" s="27">
        <f>'Функц. 2025-2027'!H81+'Функц. 2025-2027'!H531+'Функц. 2025-2027'!H195+'Функц. 2025-2027'!H105+'Функц. 2025-2027'!H287</f>
        <v>830.09999999999991</v>
      </c>
      <c r="F502" s="27">
        <f>'Функц. 2025-2027'!J81+'Функц. 2025-2027'!J531+'Функц. 2025-2027'!J195+'Функц. 2025-2027'!J105+'Функц. 2025-2027'!J287</f>
        <v>983.4</v>
      </c>
      <c r="G502" s="152"/>
    </row>
    <row r="503" spans="1:7" ht="31.5" x14ac:dyDescent="0.25">
      <c r="A503" s="396" t="s">
        <v>298</v>
      </c>
      <c r="B503" s="615" t="s">
        <v>132</v>
      </c>
      <c r="C503" s="601"/>
      <c r="D503" s="30">
        <f>D504+D513+D529+D524</f>
        <v>18164.5</v>
      </c>
      <c r="E503" s="518">
        <f>E504+E513+E529</f>
        <v>12171</v>
      </c>
      <c r="F503" s="518">
        <f>F504+F513+F529</f>
        <v>10164.5</v>
      </c>
      <c r="G503" s="152"/>
    </row>
    <row r="504" spans="1:7" ht="47.25" x14ac:dyDescent="0.25">
      <c r="A504" s="271" t="s">
        <v>515</v>
      </c>
      <c r="B504" s="156" t="s">
        <v>300</v>
      </c>
      <c r="C504" s="444"/>
      <c r="D504" s="27">
        <f>D505+D509</f>
        <v>10789.4</v>
      </c>
      <c r="E504" s="27">
        <f>E505+E509</f>
        <v>4365</v>
      </c>
      <c r="F504" s="27">
        <f>F505+F509</f>
        <v>3000</v>
      </c>
      <c r="G504" s="152"/>
    </row>
    <row r="505" spans="1:7" ht="31.5" x14ac:dyDescent="0.25">
      <c r="A505" s="272" t="s">
        <v>301</v>
      </c>
      <c r="B505" s="156" t="s">
        <v>302</v>
      </c>
      <c r="C505" s="444"/>
      <c r="D505" s="27">
        <f t="shared" ref="D505:F507" si="159">D506</f>
        <v>9408.4</v>
      </c>
      <c r="E505" s="27">
        <f t="shared" si="159"/>
        <v>3000</v>
      </c>
      <c r="F505" s="27">
        <f t="shared" si="159"/>
        <v>3000</v>
      </c>
      <c r="G505" s="152"/>
    </row>
    <row r="506" spans="1:7" ht="94.5" x14ac:dyDescent="0.25">
      <c r="A506" s="278" t="s">
        <v>677</v>
      </c>
      <c r="B506" s="281" t="s">
        <v>303</v>
      </c>
      <c r="C506" s="444"/>
      <c r="D506" s="27">
        <f t="shared" si="159"/>
        <v>9408.4</v>
      </c>
      <c r="E506" s="27">
        <f t="shared" si="159"/>
        <v>3000</v>
      </c>
      <c r="F506" s="27">
        <f t="shared" si="159"/>
        <v>3000</v>
      </c>
      <c r="G506" s="152"/>
    </row>
    <row r="507" spans="1:7" x14ac:dyDescent="0.25">
      <c r="A507" s="273" t="s">
        <v>120</v>
      </c>
      <c r="B507" s="281" t="s">
        <v>303</v>
      </c>
      <c r="C507" s="444">
        <v>200</v>
      </c>
      <c r="D507" s="27">
        <f t="shared" si="159"/>
        <v>9408.4</v>
      </c>
      <c r="E507" s="27">
        <f t="shared" si="159"/>
        <v>3000</v>
      </c>
      <c r="F507" s="27">
        <f t="shared" si="159"/>
        <v>3000</v>
      </c>
      <c r="G507" s="152"/>
    </row>
    <row r="508" spans="1:7" x14ac:dyDescent="0.25">
      <c r="A508" s="273" t="s">
        <v>52</v>
      </c>
      <c r="B508" s="281" t="s">
        <v>303</v>
      </c>
      <c r="C508" s="444">
        <v>240</v>
      </c>
      <c r="D508" s="27">
        <f>'Функц. 2025-2027'!F87</f>
        <v>9408.4</v>
      </c>
      <c r="E508" s="27">
        <f>'Функц. 2025-2027'!H87</f>
        <v>3000</v>
      </c>
      <c r="F508" s="27">
        <f>'Функц. 2025-2027'!J84</f>
        <v>3000</v>
      </c>
      <c r="G508" s="152"/>
    </row>
    <row r="509" spans="1:7" ht="31.5" x14ac:dyDescent="0.25">
      <c r="A509" s="278" t="s">
        <v>304</v>
      </c>
      <c r="B509" s="156" t="s">
        <v>305</v>
      </c>
      <c r="C509" s="444"/>
      <c r="D509" s="27">
        <f t="shared" ref="D509:F511" si="160">D510</f>
        <v>1381</v>
      </c>
      <c r="E509" s="27">
        <f t="shared" si="160"/>
        <v>1365</v>
      </c>
      <c r="F509" s="27">
        <f t="shared" si="160"/>
        <v>0</v>
      </c>
      <c r="G509" s="152"/>
    </row>
    <row r="510" spans="1:7" ht="47.25" x14ac:dyDescent="0.25">
      <c r="A510" s="272" t="s">
        <v>352</v>
      </c>
      <c r="B510" s="156" t="s">
        <v>306</v>
      </c>
      <c r="C510" s="444"/>
      <c r="D510" s="27">
        <f t="shared" si="160"/>
        <v>1381</v>
      </c>
      <c r="E510" s="27">
        <f t="shared" si="160"/>
        <v>1365</v>
      </c>
      <c r="F510" s="27">
        <f t="shared" si="160"/>
        <v>0</v>
      </c>
      <c r="G510" s="152"/>
    </row>
    <row r="511" spans="1:7" x14ac:dyDescent="0.25">
      <c r="A511" s="273" t="s">
        <v>120</v>
      </c>
      <c r="B511" s="156" t="s">
        <v>306</v>
      </c>
      <c r="C511" s="444">
        <v>200</v>
      </c>
      <c r="D511" s="27">
        <f t="shared" si="160"/>
        <v>1381</v>
      </c>
      <c r="E511" s="27">
        <f t="shared" si="160"/>
        <v>1365</v>
      </c>
      <c r="F511" s="27">
        <f t="shared" si="160"/>
        <v>0</v>
      </c>
      <c r="G511" s="152"/>
    </row>
    <row r="512" spans="1:7" x14ac:dyDescent="0.25">
      <c r="A512" s="273" t="s">
        <v>52</v>
      </c>
      <c r="B512" s="156" t="s">
        <v>306</v>
      </c>
      <c r="C512" s="444">
        <v>240</v>
      </c>
      <c r="D512" s="27">
        <f>'Функц. 2025-2027'!F464</f>
        <v>1381</v>
      </c>
      <c r="E512" s="27">
        <f>'Функц. 2025-2027'!H464</f>
        <v>1365</v>
      </c>
      <c r="F512" s="27">
        <f>'Функц. 2025-2027'!J464</f>
        <v>0</v>
      </c>
      <c r="G512" s="152"/>
    </row>
    <row r="513" spans="1:30" x14ac:dyDescent="0.25">
      <c r="A513" s="271" t="s">
        <v>307</v>
      </c>
      <c r="B513" s="156" t="s">
        <v>308</v>
      </c>
      <c r="C513" s="444"/>
      <c r="D513" s="27">
        <f>D514+D520</f>
        <v>2581.1</v>
      </c>
      <c r="E513" s="27">
        <f>E514+E520</f>
        <v>1862.7</v>
      </c>
      <c r="F513" s="27">
        <f>F514+F520</f>
        <v>1951.2</v>
      </c>
      <c r="G513" s="152"/>
    </row>
    <row r="514" spans="1:30" x14ac:dyDescent="0.25">
      <c r="A514" s="272" t="s">
        <v>513</v>
      </c>
      <c r="B514" s="156" t="s">
        <v>309</v>
      </c>
      <c r="C514" s="444"/>
      <c r="D514" s="27">
        <f t="shared" ref="D514:F516" si="161">D515</f>
        <v>1330.6</v>
      </c>
      <c r="E514" s="27">
        <f t="shared" si="161"/>
        <v>612.20000000000005</v>
      </c>
      <c r="F514" s="27">
        <f t="shared" si="161"/>
        <v>700.7</v>
      </c>
      <c r="G514" s="152"/>
    </row>
    <row r="515" spans="1:30" ht="33.75" customHeight="1" x14ac:dyDescent="0.25">
      <c r="A515" s="278" t="s">
        <v>775</v>
      </c>
      <c r="B515" s="156" t="s">
        <v>310</v>
      </c>
      <c r="C515" s="444"/>
      <c r="D515" s="27">
        <f>D516+D518</f>
        <v>1330.6</v>
      </c>
      <c r="E515" s="517">
        <f t="shared" ref="E515:F515" si="162">E516+E518</f>
        <v>612.20000000000005</v>
      </c>
      <c r="F515" s="517">
        <f t="shared" si="162"/>
        <v>700.7</v>
      </c>
      <c r="G515" s="152"/>
    </row>
    <row r="516" spans="1:30" x14ac:dyDescent="0.25">
      <c r="A516" s="273" t="s">
        <v>120</v>
      </c>
      <c r="B516" s="156" t="s">
        <v>310</v>
      </c>
      <c r="C516" s="444">
        <v>200</v>
      </c>
      <c r="D516" s="27">
        <f t="shared" si="161"/>
        <v>679.99999999999989</v>
      </c>
      <c r="E516" s="27">
        <f t="shared" si="161"/>
        <v>450.00000000000006</v>
      </c>
      <c r="F516" s="27">
        <f t="shared" si="161"/>
        <v>450.00000000000006</v>
      </c>
      <c r="G516" s="152"/>
    </row>
    <row r="517" spans="1:30" x14ac:dyDescent="0.25">
      <c r="A517" s="273" t="s">
        <v>52</v>
      </c>
      <c r="B517" s="156" t="s">
        <v>310</v>
      </c>
      <c r="C517" s="444">
        <v>240</v>
      </c>
      <c r="D517" s="27">
        <f>'Функц. 2025-2027'!F705</f>
        <v>679.99999999999989</v>
      </c>
      <c r="E517" s="27">
        <f>'Функц. 2025-2027'!H705</f>
        <v>450.00000000000006</v>
      </c>
      <c r="F517" s="27">
        <f>'Функц. 2025-2027'!J705</f>
        <v>450.00000000000006</v>
      </c>
      <c r="G517" s="152"/>
    </row>
    <row r="518" spans="1:30" s="519" customFormat="1" ht="31.5" x14ac:dyDescent="0.25">
      <c r="A518" s="451" t="s">
        <v>60</v>
      </c>
      <c r="B518" s="156" t="s">
        <v>310</v>
      </c>
      <c r="C518" s="444">
        <v>600</v>
      </c>
      <c r="D518" s="517">
        <f>D519</f>
        <v>650.6</v>
      </c>
      <c r="E518" s="517">
        <f t="shared" ref="E518:F518" si="163">E519</f>
        <v>162.19999999999999</v>
      </c>
      <c r="F518" s="517">
        <f t="shared" si="163"/>
        <v>250.7</v>
      </c>
      <c r="G518" s="520"/>
    </row>
    <row r="519" spans="1:30" s="519" customFormat="1" x14ac:dyDescent="0.25">
      <c r="A519" s="451" t="s">
        <v>61</v>
      </c>
      <c r="B519" s="156" t="s">
        <v>310</v>
      </c>
      <c r="C519" s="444">
        <v>610</v>
      </c>
      <c r="D519" s="517">
        <f>'Функц. 2025-2027'!F707</f>
        <v>650.6</v>
      </c>
      <c r="E519" s="517">
        <f>'Функц. 2025-2027'!H707</f>
        <v>162.19999999999999</v>
      </c>
      <c r="F519" s="517">
        <f>'Функц. 2025-2027'!J707</f>
        <v>250.7</v>
      </c>
      <c r="G519" s="520"/>
    </row>
    <row r="520" spans="1:30" s="171" customFormat="1" ht="63" x14ac:dyDescent="0.25">
      <c r="A520" s="376" t="s">
        <v>579</v>
      </c>
      <c r="B520" s="309" t="s">
        <v>580</v>
      </c>
      <c r="C520" s="444"/>
      <c r="D520" s="27">
        <f t="shared" ref="D520:F522" si="164">D521</f>
        <v>1250.5</v>
      </c>
      <c r="E520" s="27">
        <f t="shared" si="164"/>
        <v>1250.5</v>
      </c>
      <c r="F520" s="27">
        <f t="shared" si="164"/>
        <v>1250.5</v>
      </c>
      <c r="G520" s="152"/>
    </row>
    <row r="521" spans="1:30" s="171" customFormat="1" ht="34.5" customHeight="1" x14ac:dyDescent="0.25">
      <c r="A521" s="376" t="s">
        <v>776</v>
      </c>
      <c r="B521" s="309" t="s">
        <v>581</v>
      </c>
      <c r="C521" s="444"/>
      <c r="D521" s="27">
        <f t="shared" si="164"/>
        <v>1250.5</v>
      </c>
      <c r="E521" s="27">
        <f t="shared" si="164"/>
        <v>1250.5</v>
      </c>
      <c r="F521" s="27">
        <f t="shared" si="164"/>
        <v>1250.5</v>
      </c>
      <c r="G521" s="152"/>
    </row>
    <row r="522" spans="1:30" ht="31.5" x14ac:dyDescent="0.25">
      <c r="A522" s="393" t="s">
        <v>60</v>
      </c>
      <c r="B522" s="309" t="s">
        <v>581</v>
      </c>
      <c r="C522" s="444">
        <v>600</v>
      </c>
      <c r="D522" s="27">
        <f t="shared" si="164"/>
        <v>1250.5</v>
      </c>
      <c r="E522" s="27">
        <f t="shared" si="164"/>
        <v>1250.5</v>
      </c>
      <c r="F522" s="27">
        <f t="shared" si="164"/>
        <v>1250.5</v>
      </c>
      <c r="G522" s="152"/>
    </row>
    <row r="523" spans="1:30" x14ac:dyDescent="0.25">
      <c r="A523" s="393" t="s">
        <v>61</v>
      </c>
      <c r="B523" s="309" t="s">
        <v>581</v>
      </c>
      <c r="C523" s="444">
        <v>610</v>
      </c>
      <c r="D523" s="27">
        <f>'Функц. 2025-2027'!F711</f>
        <v>1250.5</v>
      </c>
      <c r="E523" s="27">
        <f>'Функц. 2025-2027'!H711</f>
        <v>1250.5</v>
      </c>
      <c r="F523" s="27">
        <f>'Функц. 2025-2027'!J711</f>
        <v>1250.5</v>
      </c>
      <c r="G523" s="152"/>
    </row>
    <row r="524" spans="1:30" s="519" customFormat="1" ht="31.5" x14ac:dyDescent="0.25">
      <c r="A524" s="451" t="s">
        <v>814</v>
      </c>
      <c r="B524" s="543" t="s">
        <v>818</v>
      </c>
      <c r="C524" s="454"/>
      <c r="D524" s="517">
        <f>D525</f>
        <v>150</v>
      </c>
      <c r="E524" s="517">
        <f t="shared" ref="E524:F524" si="165">E525</f>
        <v>0</v>
      </c>
      <c r="F524" s="517">
        <f t="shared" si="165"/>
        <v>0</v>
      </c>
      <c r="G524" s="520"/>
    </row>
    <row r="525" spans="1:30" s="519" customFormat="1" ht="31.5" x14ac:dyDescent="0.25">
      <c r="A525" s="451" t="s">
        <v>813</v>
      </c>
      <c r="B525" s="543" t="s">
        <v>817</v>
      </c>
      <c r="C525" s="454"/>
      <c r="D525" s="517">
        <f>D526</f>
        <v>150</v>
      </c>
      <c r="E525" s="517">
        <f t="shared" ref="E525:F525" si="166">E526</f>
        <v>0</v>
      </c>
      <c r="F525" s="517">
        <f t="shared" si="166"/>
        <v>0</v>
      </c>
      <c r="G525" s="520"/>
    </row>
    <row r="526" spans="1:30" s="519" customFormat="1" x14ac:dyDescent="0.25">
      <c r="A526" s="451" t="s">
        <v>815</v>
      </c>
      <c r="B526" s="543" t="s">
        <v>816</v>
      </c>
      <c r="C526" s="454"/>
      <c r="D526" s="517">
        <f>D527</f>
        <v>150</v>
      </c>
      <c r="E526" s="517">
        <f t="shared" ref="E526:AD526" si="167">E527</f>
        <v>0</v>
      </c>
      <c r="F526" s="517">
        <f t="shared" si="167"/>
        <v>0</v>
      </c>
      <c r="G526" s="517">
        <f t="shared" si="167"/>
        <v>0</v>
      </c>
      <c r="H526" s="517">
        <f t="shared" si="167"/>
        <v>0</v>
      </c>
      <c r="I526" s="517">
        <f t="shared" si="167"/>
        <v>0</v>
      </c>
      <c r="J526" s="517">
        <f t="shared" si="167"/>
        <v>0</v>
      </c>
      <c r="K526" s="517">
        <f t="shared" si="167"/>
        <v>0</v>
      </c>
      <c r="L526" s="517">
        <f t="shared" si="167"/>
        <v>0</v>
      </c>
      <c r="M526" s="517">
        <f t="shared" si="167"/>
        <v>0</v>
      </c>
      <c r="N526" s="517">
        <f t="shared" si="167"/>
        <v>0</v>
      </c>
      <c r="O526" s="517">
        <f t="shared" si="167"/>
        <v>0</v>
      </c>
      <c r="P526" s="517">
        <f t="shared" si="167"/>
        <v>0</v>
      </c>
      <c r="Q526" s="517">
        <f t="shared" si="167"/>
        <v>0</v>
      </c>
      <c r="R526" s="517">
        <f t="shared" si="167"/>
        <v>0</v>
      </c>
      <c r="S526" s="517">
        <f t="shared" si="167"/>
        <v>0</v>
      </c>
      <c r="T526" s="517">
        <f t="shared" si="167"/>
        <v>0</v>
      </c>
      <c r="U526" s="517">
        <f t="shared" si="167"/>
        <v>0</v>
      </c>
      <c r="V526" s="517">
        <f t="shared" si="167"/>
        <v>0</v>
      </c>
      <c r="W526" s="517">
        <f t="shared" si="167"/>
        <v>0</v>
      </c>
      <c r="X526" s="517">
        <f t="shared" si="167"/>
        <v>0</v>
      </c>
      <c r="Y526" s="517">
        <f t="shared" si="167"/>
        <v>0</v>
      </c>
      <c r="Z526" s="517">
        <f t="shared" si="167"/>
        <v>0</v>
      </c>
      <c r="AA526" s="517">
        <f t="shared" si="167"/>
        <v>0</v>
      </c>
      <c r="AB526" s="517">
        <f t="shared" si="167"/>
        <v>0</v>
      </c>
      <c r="AC526" s="517">
        <f t="shared" si="167"/>
        <v>0</v>
      </c>
      <c r="AD526" s="517">
        <f t="shared" si="167"/>
        <v>0</v>
      </c>
    </row>
    <row r="527" spans="1:30" s="519" customFormat="1" ht="31.5" x14ac:dyDescent="0.25">
      <c r="A527" s="451" t="s">
        <v>60</v>
      </c>
      <c r="B527" s="543" t="s">
        <v>816</v>
      </c>
      <c r="C527" s="454">
        <v>600</v>
      </c>
      <c r="D527" s="517">
        <f>D528</f>
        <v>150</v>
      </c>
      <c r="E527" s="517">
        <f t="shared" ref="E527:F527" si="168">E528</f>
        <v>0</v>
      </c>
      <c r="F527" s="517">
        <f t="shared" si="168"/>
        <v>0</v>
      </c>
      <c r="G527" s="520"/>
    </row>
    <row r="528" spans="1:30" s="519" customFormat="1" x14ac:dyDescent="0.25">
      <c r="A528" s="451" t="s">
        <v>61</v>
      </c>
      <c r="B528" s="543" t="s">
        <v>816</v>
      </c>
      <c r="C528" s="454">
        <v>610</v>
      </c>
      <c r="D528" s="517">
        <f>'Функц. 2025-2027'!F716</f>
        <v>150</v>
      </c>
      <c r="E528" s="517">
        <f>'Функц. 2025-2027'!H716</f>
        <v>0</v>
      </c>
      <c r="F528" s="517">
        <f>'Функц. 2025-2027'!J716</f>
        <v>0</v>
      </c>
      <c r="G528" s="520"/>
    </row>
    <row r="529" spans="1:30" s="177" customFormat="1" x14ac:dyDescent="0.25">
      <c r="A529" s="255" t="s">
        <v>48</v>
      </c>
      <c r="B529" s="156" t="s">
        <v>444</v>
      </c>
      <c r="C529" s="444"/>
      <c r="D529" s="27">
        <f>D530+D534</f>
        <v>4644</v>
      </c>
      <c r="E529" s="27">
        <f>E530+E534</f>
        <v>5943.3</v>
      </c>
      <c r="F529" s="27">
        <f>F530+F534</f>
        <v>5213.3</v>
      </c>
      <c r="G529" s="152"/>
    </row>
    <row r="530" spans="1:30" s="177" customFormat="1" x14ac:dyDescent="0.25">
      <c r="A530" s="278" t="s">
        <v>457</v>
      </c>
      <c r="B530" s="156" t="s">
        <v>445</v>
      </c>
      <c r="C530" s="444"/>
      <c r="D530" s="27">
        <f t="shared" ref="D530:F532" si="169">D531</f>
        <v>4643.3999999999996</v>
      </c>
      <c r="E530" s="27">
        <f t="shared" si="169"/>
        <v>5021.3</v>
      </c>
      <c r="F530" s="27">
        <f t="shared" si="169"/>
        <v>5193.1000000000004</v>
      </c>
      <c r="G530" s="152"/>
    </row>
    <row r="531" spans="1:30" ht="31.5" x14ac:dyDescent="0.25">
      <c r="A531" s="255" t="s">
        <v>456</v>
      </c>
      <c r="B531" s="156" t="s">
        <v>452</v>
      </c>
      <c r="C531" s="609"/>
      <c r="D531" s="27">
        <f t="shared" si="169"/>
        <v>4643.3999999999996</v>
      </c>
      <c r="E531" s="27">
        <f t="shared" si="169"/>
        <v>5021.3</v>
      </c>
      <c r="F531" s="27">
        <f t="shared" si="169"/>
        <v>5193.1000000000004</v>
      </c>
      <c r="G531" s="152"/>
    </row>
    <row r="532" spans="1:30" ht="47.25" x14ac:dyDescent="0.25">
      <c r="A532" s="273" t="s">
        <v>41</v>
      </c>
      <c r="B532" s="156" t="s">
        <v>452</v>
      </c>
      <c r="C532" s="444">
        <v>100</v>
      </c>
      <c r="D532" s="27">
        <f t="shared" si="169"/>
        <v>4643.3999999999996</v>
      </c>
      <c r="E532" s="27">
        <f t="shared" si="169"/>
        <v>5021.3</v>
      </c>
      <c r="F532" s="27">
        <f t="shared" si="169"/>
        <v>5193.1000000000004</v>
      </c>
      <c r="G532" s="152"/>
    </row>
    <row r="533" spans="1:30" x14ac:dyDescent="0.25">
      <c r="A533" s="273" t="s">
        <v>96</v>
      </c>
      <c r="B533" s="156" t="s">
        <v>452</v>
      </c>
      <c r="C533" s="444">
        <v>120</v>
      </c>
      <c r="D533" s="27">
        <f>'Функц. 2025-2027'!F226</f>
        <v>4643.3999999999996</v>
      </c>
      <c r="E533" s="27">
        <f>'Функц. 2025-2027'!H226</f>
        <v>5021.3</v>
      </c>
      <c r="F533" s="27">
        <f>'Функц. 2025-2027'!J226</f>
        <v>5193.1000000000004</v>
      </c>
      <c r="G533" s="152"/>
    </row>
    <row r="534" spans="1:30" ht="31.5" x14ac:dyDescent="0.25">
      <c r="A534" s="272" t="s">
        <v>311</v>
      </c>
      <c r="B534" s="156" t="s">
        <v>453</v>
      </c>
      <c r="C534" s="444"/>
      <c r="D534" s="27">
        <f t="shared" ref="D534:F536" si="170">D535</f>
        <v>0.6</v>
      </c>
      <c r="E534" s="27">
        <f t="shared" si="170"/>
        <v>922</v>
      </c>
      <c r="F534" s="27">
        <f t="shared" si="170"/>
        <v>20.2</v>
      </c>
      <c r="G534" s="152"/>
    </row>
    <row r="535" spans="1:30" ht="31.5" x14ac:dyDescent="0.25">
      <c r="A535" s="271" t="s">
        <v>455</v>
      </c>
      <c r="B535" s="156" t="s">
        <v>454</v>
      </c>
      <c r="C535" s="444"/>
      <c r="D535" s="27">
        <f t="shared" si="170"/>
        <v>0.6</v>
      </c>
      <c r="E535" s="27">
        <f t="shared" si="170"/>
        <v>922</v>
      </c>
      <c r="F535" s="27">
        <f t="shared" si="170"/>
        <v>20.2</v>
      </c>
      <c r="G535" s="152"/>
    </row>
    <row r="536" spans="1:30" x14ac:dyDescent="0.25">
      <c r="A536" s="273" t="s">
        <v>120</v>
      </c>
      <c r="B536" s="156" t="s">
        <v>454</v>
      </c>
      <c r="C536" s="444">
        <v>200</v>
      </c>
      <c r="D536" s="27">
        <f t="shared" si="170"/>
        <v>0.6</v>
      </c>
      <c r="E536" s="27">
        <f t="shared" si="170"/>
        <v>922</v>
      </c>
      <c r="F536" s="27">
        <f t="shared" si="170"/>
        <v>20.2</v>
      </c>
      <c r="G536" s="152"/>
    </row>
    <row r="537" spans="1:30" x14ac:dyDescent="0.25">
      <c r="A537" s="273" t="s">
        <v>52</v>
      </c>
      <c r="B537" s="156" t="s">
        <v>454</v>
      </c>
      <c r="C537" s="444">
        <v>240</v>
      </c>
      <c r="D537" s="27">
        <f>'Функц. 2025-2027'!F201</f>
        <v>0.6</v>
      </c>
      <c r="E537" s="27">
        <f>'Функц. 2025-2027'!H201</f>
        <v>922</v>
      </c>
      <c r="F537" s="27">
        <f>'Функц. 2025-2027'!J201</f>
        <v>20.2</v>
      </c>
      <c r="G537" s="152"/>
    </row>
    <row r="538" spans="1:30" ht="31.5" x14ac:dyDescent="0.25">
      <c r="A538" s="395" t="s">
        <v>226</v>
      </c>
      <c r="B538" s="615" t="s">
        <v>227</v>
      </c>
      <c r="C538" s="601"/>
      <c r="D538" s="30">
        <f t="shared" ref="D538:AD538" si="171">D539+D545+D550+D555</f>
        <v>97889.8</v>
      </c>
      <c r="E538" s="518">
        <f t="shared" si="171"/>
        <v>92021.4</v>
      </c>
      <c r="F538" s="518">
        <f t="shared" si="171"/>
        <v>96070.6</v>
      </c>
      <c r="G538" s="518">
        <f t="shared" si="171"/>
        <v>0</v>
      </c>
      <c r="H538" s="518">
        <f t="shared" si="171"/>
        <v>0</v>
      </c>
      <c r="I538" s="518">
        <f t="shared" si="171"/>
        <v>0</v>
      </c>
      <c r="J538" s="518">
        <f t="shared" si="171"/>
        <v>0</v>
      </c>
      <c r="K538" s="518">
        <f t="shared" si="171"/>
        <v>0</v>
      </c>
      <c r="L538" s="518">
        <f t="shared" si="171"/>
        <v>0</v>
      </c>
      <c r="M538" s="518">
        <f t="shared" si="171"/>
        <v>0</v>
      </c>
      <c r="N538" s="518">
        <f t="shared" si="171"/>
        <v>0</v>
      </c>
      <c r="O538" s="518">
        <f t="shared" si="171"/>
        <v>0</v>
      </c>
      <c r="P538" s="518">
        <f t="shared" si="171"/>
        <v>0</v>
      </c>
      <c r="Q538" s="518">
        <f t="shared" si="171"/>
        <v>0</v>
      </c>
      <c r="R538" s="518">
        <f t="shared" si="171"/>
        <v>0</v>
      </c>
      <c r="S538" s="518">
        <f t="shared" si="171"/>
        <v>0</v>
      </c>
      <c r="T538" s="518">
        <f t="shared" si="171"/>
        <v>0</v>
      </c>
      <c r="U538" s="518">
        <f t="shared" si="171"/>
        <v>0</v>
      </c>
      <c r="V538" s="518">
        <f t="shared" si="171"/>
        <v>0</v>
      </c>
      <c r="W538" s="518">
        <f t="shared" si="171"/>
        <v>0</v>
      </c>
      <c r="X538" s="518">
        <f t="shared" si="171"/>
        <v>0</v>
      </c>
      <c r="Y538" s="518">
        <f t="shared" si="171"/>
        <v>0</v>
      </c>
      <c r="Z538" s="518">
        <f t="shared" si="171"/>
        <v>0</v>
      </c>
      <c r="AA538" s="518">
        <f t="shared" si="171"/>
        <v>0</v>
      </c>
      <c r="AB538" s="518">
        <f t="shared" si="171"/>
        <v>0</v>
      </c>
      <c r="AC538" s="518">
        <f t="shared" si="171"/>
        <v>0</v>
      </c>
      <c r="AD538" s="518">
        <f t="shared" si="171"/>
        <v>0</v>
      </c>
    </row>
    <row r="539" spans="1:30" x14ac:dyDescent="0.25">
      <c r="A539" s="275" t="s">
        <v>228</v>
      </c>
      <c r="B539" s="156" t="s">
        <v>229</v>
      </c>
      <c r="C539" s="444"/>
      <c r="D539" s="27">
        <f t="shared" ref="D539:F541" si="172">D540</f>
        <v>0.79999999999999993</v>
      </c>
      <c r="E539" s="27">
        <f t="shared" si="172"/>
        <v>1.4000000000000001</v>
      </c>
      <c r="F539" s="27">
        <f t="shared" si="172"/>
        <v>0.6</v>
      </c>
      <c r="G539" s="152"/>
    </row>
    <row r="540" spans="1:30" x14ac:dyDescent="0.25">
      <c r="A540" s="277" t="s">
        <v>426</v>
      </c>
      <c r="B540" s="156" t="s">
        <v>338</v>
      </c>
      <c r="C540" s="444"/>
      <c r="D540" s="27">
        <f t="shared" si="172"/>
        <v>0.79999999999999993</v>
      </c>
      <c r="E540" s="27">
        <f t="shared" si="172"/>
        <v>1.4000000000000001</v>
      </c>
      <c r="F540" s="27">
        <f t="shared" si="172"/>
        <v>0.6</v>
      </c>
      <c r="G540" s="152"/>
    </row>
    <row r="541" spans="1:30" ht="47.25" x14ac:dyDescent="0.25">
      <c r="A541" s="277" t="s">
        <v>230</v>
      </c>
      <c r="B541" s="156" t="s">
        <v>339</v>
      </c>
      <c r="C541" s="444"/>
      <c r="D541" s="27">
        <f>D542</f>
        <v>0.79999999999999993</v>
      </c>
      <c r="E541" s="517">
        <f t="shared" si="172"/>
        <v>1.4000000000000001</v>
      </c>
      <c r="F541" s="517">
        <f t="shared" si="172"/>
        <v>0.6</v>
      </c>
      <c r="G541" s="152"/>
    </row>
    <row r="542" spans="1:30" ht="47.25" x14ac:dyDescent="0.25">
      <c r="A542" s="277" t="s">
        <v>319</v>
      </c>
      <c r="B542" s="156" t="s">
        <v>340</v>
      </c>
      <c r="C542" s="444"/>
      <c r="D542" s="27">
        <f t="shared" ref="D542:F543" si="173">D543</f>
        <v>0.79999999999999993</v>
      </c>
      <c r="E542" s="27">
        <f t="shared" si="173"/>
        <v>1.4000000000000001</v>
      </c>
      <c r="F542" s="27">
        <f t="shared" si="173"/>
        <v>0.6</v>
      </c>
      <c r="G542" s="152"/>
    </row>
    <row r="543" spans="1:30" x14ac:dyDescent="0.25">
      <c r="A543" s="273" t="s">
        <v>120</v>
      </c>
      <c r="B543" s="156" t="s">
        <v>340</v>
      </c>
      <c r="C543" s="444">
        <v>200</v>
      </c>
      <c r="D543" s="27">
        <f t="shared" si="173"/>
        <v>0.79999999999999993</v>
      </c>
      <c r="E543" s="27">
        <f t="shared" si="173"/>
        <v>1.4000000000000001</v>
      </c>
      <c r="F543" s="27">
        <f t="shared" si="173"/>
        <v>0.6</v>
      </c>
      <c r="G543" s="152"/>
    </row>
    <row r="544" spans="1:30" x14ac:dyDescent="0.25">
      <c r="A544" s="273" t="s">
        <v>52</v>
      </c>
      <c r="B544" s="156" t="s">
        <v>340</v>
      </c>
      <c r="C544" s="444">
        <v>240</v>
      </c>
      <c r="D544" s="27">
        <f>'Функц. 2025-2027'!F327</f>
        <v>0.79999999999999993</v>
      </c>
      <c r="E544" s="27">
        <f>'Функц. 2025-2027'!H327</f>
        <v>1.4000000000000001</v>
      </c>
      <c r="F544" s="27">
        <f>'Функц. 2025-2027'!J327</f>
        <v>0.6</v>
      </c>
      <c r="G544" s="152"/>
    </row>
    <row r="545" spans="1:7" x14ac:dyDescent="0.25">
      <c r="A545" s="275" t="s">
        <v>231</v>
      </c>
      <c r="B545" s="156" t="s">
        <v>232</v>
      </c>
      <c r="C545" s="444"/>
      <c r="D545" s="27">
        <f>D546</f>
        <v>24903</v>
      </c>
      <c r="E545" s="517">
        <f t="shared" ref="E545:F545" si="174">E546</f>
        <v>39565</v>
      </c>
      <c r="F545" s="517">
        <f t="shared" si="174"/>
        <v>41464</v>
      </c>
      <c r="G545" s="152"/>
    </row>
    <row r="546" spans="1:7" ht="31.5" x14ac:dyDescent="0.25">
      <c r="A546" s="451" t="s">
        <v>715</v>
      </c>
      <c r="B546" s="613" t="s">
        <v>502</v>
      </c>
      <c r="C546" s="460"/>
      <c r="D546" s="27">
        <f t="shared" ref="D546:F547" si="175">D547</f>
        <v>24903</v>
      </c>
      <c r="E546" s="27">
        <f t="shared" si="175"/>
        <v>39565</v>
      </c>
      <c r="F546" s="27">
        <f t="shared" si="175"/>
        <v>41464</v>
      </c>
      <c r="G546" s="152"/>
    </row>
    <row r="547" spans="1:7" ht="31.5" x14ac:dyDescent="0.25">
      <c r="A547" s="451" t="s">
        <v>681</v>
      </c>
      <c r="B547" s="613" t="s">
        <v>714</v>
      </c>
      <c r="C547" s="460"/>
      <c r="D547" s="27">
        <f t="shared" si="175"/>
        <v>24903</v>
      </c>
      <c r="E547" s="27">
        <f t="shared" si="175"/>
        <v>39565</v>
      </c>
      <c r="F547" s="27">
        <f t="shared" si="175"/>
        <v>41464</v>
      </c>
      <c r="G547" s="152"/>
    </row>
    <row r="548" spans="1:7" x14ac:dyDescent="0.25">
      <c r="A548" s="451" t="s">
        <v>120</v>
      </c>
      <c r="B548" s="613" t="s">
        <v>714</v>
      </c>
      <c r="C548" s="460">
        <v>200</v>
      </c>
      <c r="D548" s="27">
        <f>'Функц. 2025-2027'!F334</f>
        <v>24903</v>
      </c>
      <c r="E548" s="27">
        <f>'Функц. 2025-2027'!H334</f>
        <v>39565</v>
      </c>
      <c r="F548" s="27">
        <f>'Функц. 2025-2027'!J334</f>
        <v>41464</v>
      </c>
      <c r="G548" s="152"/>
    </row>
    <row r="549" spans="1:7" x14ac:dyDescent="0.25">
      <c r="A549" s="451" t="s">
        <v>52</v>
      </c>
      <c r="B549" s="613" t="s">
        <v>714</v>
      </c>
      <c r="C549" s="460">
        <v>240</v>
      </c>
      <c r="D549" s="27">
        <f>'Функц. 2025-2027'!F335</f>
        <v>24903</v>
      </c>
      <c r="E549" s="27">
        <f>'Функц. 2025-2027'!H335</f>
        <v>39565</v>
      </c>
      <c r="F549" s="27">
        <f>'Функц. 2025-2027'!J335</f>
        <v>41464</v>
      </c>
      <c r="G549" s="152"/>
    </row>
    <row r="550" spans="1:7" x14ac:dyDescent="0.25">
      <c r="A550" s="465" t="s">
        <v>710</v>
      </c>
      <c r="B550" s="613" t="s">
        <v>709</v>
      </c>
      <c r="C550" s="460"/>
      <c r="D550" s="27">
        <f>D551</f>
        <v>19986</v>
      </c>
      <c r="E550" s="517">
        <f t="shared" ref="E550:F551" si="176">E551</f>
        <v>16090</v>
      </c>
      <c r="F550" s="517">
        <f t="shared" si="176"/>
        <v>16750</v>
      </c>
      <c r="G550" s="152"/>
    </row>
    <row r="551" spans="1:7" x14ac:dyDescent="0.25">
      <c r="A551" s="451" t="s">
        <v>711</v>
      </c>
      <c r="B551" s="613" t="s">
        <v>712</v>
      </c>
      <c r="C551" s="460"/>
      <c r="D551" s="27">
        <f>D552</f>
        <v>19986</v>
      </c>
      <c r="E551" s="517">
        <f t="shared" si="176"/>
        <v>16090</v>
      </c>
      <c r="F551" s="517">
        <f t="shared" si="176"/>
        <v>16750</v>
      </c>
      <c r="G551" s="152"/>
    </row>
    <row r="552" spans="1:7" s="519" customFormat="1" x14ac:dyDescent="0.25">
      <c r="A552" s="451" t="s">
        <v>344</v>
      </c>
      <c r="B552" s="613" t="s">
        <v>713</v>
      </c>
      <c r="C552" s="460"/>
      <c r="D552" s="517">
        <f>D553</f>
        <v>19986</v>
      </c>
      <c r="E552" s="517">
        <f t="shared" ref="E552:F552" si="177">E553</f>
        <v>16090</v>
      </c>
      <c r="F552" s="517">
        <f t="shared" si="177"/>
        <v>16750</v>
      </c>
      <c r="G552" s="520"/>
    </row>
    <row r="553" spans="1:7" s="519" customFormat="1" x14ac:dyDescent="0.25">
      <c r="A553" s="451" t="s">
        <v>120</v>
      </c>
      <c r="B553" s="613" t="s">
        <v>713</v>
      </c>
      <c r="C553" s="460">
        <v>200</v>
      </c>
      <c r="D553" s="517">
        <f>D554</f>
        <v>19986</v>
      </c>
      <c r="E553" s="517">
        <f t="shared" ref="E553:F553" si="178">E554</f>
        <v>16090</v>
      </c>
      <c r="F553" s="517">
        <f t="shared" si="178"/>
        <v>16750</v>
      </c>
      <c r="G553" s="520"/>
    </row>
    <row r="554" spans="1:7" s="519" customFormat="1" x14ac:dyDescent="0.25">
      <c r="A554" s="451" t="s">
        <v>52</v>
      </c>
      <c r="B554" s="613" t="s">
        <v>713</v>
      </c>
      <c r="C554" s="460">
        <v>240</v>
      </c>
      <c r="D554" s="517">
        <f>'Функц. 2025-2027'!F340</f>
        <v>19986</v>
      </c>
      <c r="E554" s="517">
        <f>'Функц. 2025-2027'!H340</f>
        <v>16090</v>
      </c>
      <c r="F554" s="517">
        <f>'Функц. 2025-2027'!J340</f>
        <v>16750</v>
      </c>
      <c r="G554" s="520"/>
    </row>
    <row r="555" spans="1:7" x14ac:dyDescent="0.25">
      <c r="A555" s="275" t="s">
        <v>48</v>
      </c>
      <c r="B555" s="156" t="s">
        <v>341</v>
      </c>
      <c r="C555" s="407"/>
      <c r="D555" s="27">
        <f t="shared" ref="D555:F558" si="179">D556</f>
        <v>53000</v>
      </c>
      <c r="E555" s="27">
        <f t="shared" si="179"/>
        <v>36365</v>
      </c>
      <c r="F555" s="27">
        <f t="shared" si="179"/>
        <v>37856</v>
      </c>
      <c r="G555" s="152"/>
    </row>
    <row r="556" spans="1:7" ht="31.5" x14ac:dyDescent="0.25">
      <c r="A556" s="275" t="s">
        <v>191</v>
      </c>
      <c r="B556" s="156" t="s">
        <v>342</v>
      </c>
      <c r="C556" s="444"/>
      <c r="D556" s="27">
        <f t="shared" si="179"/>
        <v>53000</v>
      </c>
      <c r="E556" s="27">
        <f t="shared" si="179"/>
        <v>36365</v>
      </c>
      <c r="F556" s="27">
        <f t="shared" si="179"/>
        <v>37856</v>
      </c>
      <c r="G556" s="152"/>
    </row>
    <row r="557" spans="1:7" ht="31.5" x14ac:dyDescent="0.25">
      <c r="A557" s="465" t="s">
        <v>707</v>
      </c>
      <c r="B557" s="613" t="s">
        <v>706</v>
      </c>
      <c r="C557" s="444"/>
      <c r="D557" s="27">
        <f t="shared" si="179"/>
        <v>53000</v>
      </c>
      <c r="E557" s="27">
        <f t="shared" si="179"/>
        <v>36365</v>
      </c>
      <c r="F557" s="27">
        <f t="shared" si="179"/>
        <v>37856</v>
      </c>
      <c r="G557" s="152"/>
    </row>
    <row r="558" spans="1:7" ht="31.5" x14ac:dyDescent="0.25">
      <c r="A558" s="393" t="s">
        <v>60</v>
      </c>
      <c r="B558" s="613" t="s">
        <v>706</v>
      </c>
      <c r="C558" s="444">
        <v>600</v>
      </c>
      <c r="D558" s="27">
        <f t="shared" si="179"/>
        <v>53000</v>
      </c>
      <c r="E558" s="27">
        <f t="shared" si="179"/>
        <v>36365</v>
      </c>
      <c r="F558" s="27">
        <f t="shared" si="179"/>
        <v>37856</v>
      </c>
      <c r="G558" s="152"/>
    </row>
    <row r="559" spans="1:7" x14ac:dyDescent="0.25">
      <c r="A559" s="393" t="s">
        <v>61</v>
      </c>
      <c r="B559" s="613" t="s">
        <v>706</v>
      </c>
      <c r="C559" s="444">
        <v>610</v>
      </c>
      <c r="D559" s="27">
        <f>'Функц. 2025-2027'!F345</f>
        <v>53000</v>
      </c>
      <c r="E559" s="27">
        <f>'Функц. 2025-2027'!H345</f>
        <v>36365</v>
      </c>
      <c r="F559" s="27">
        <f>'Функц. 2025-2027'!J345</f>
        <v>37856</v>
      </c>
      <c r="G559" s="152"/>
    </row>
    <row r="560" spans="1:7" x14ac:dyDescent="0.25">
      <c r="A560" s="395" t="s">
        <v>233</v>
      </c>
      <c r="B560" s="615" t="s">
        <v>234</v>
      </c>
      <c r="C560" s="601"/>
      <c r="D560" s="30">
        <f>D561+D578</f>
        <v>62118</v>
      </c>
      <c r="E560" s="518">
        <f t="shared" ref="E560:F560" si="180">E561+E578</f>
        <v>55636</v>
      </c>
      <c r="F560" s="518">
        <f t="shared" si="180"/>
        <v>53039</v>
      </c>
      <c r="G560" s="152"/>
    </row>
    <row r="561" spans="1:7" ht="31.5" x14ac:dyDescent="0.25">
      <c r="A561" s="275" t="s">
        <v>236</v>
      </c>
      <c r="B561" s="156" t="s">
        <v>237</v>
      </c>
      <c r="C561" s="605"/>
      <c r="D561" s="27">
        <f>D574+D562+D570+D566</f>
        <v>4769</v>
      </c>
      <c r="E561" s="27">
        <f>E574+E562+E570+E566</f>
        <v>3003</v>
      </c>
      <c r="F561" s="27">
        <f>F574+F562+F570+F566</f>
        <v>0</v>
      </c>
      <c r="G561" s="152"/>
    </row>
    <row r="562" spans="1:7" s="177" customFormat="1" x14ac:dyDescent="0.25">
      <c r="A562" s="259" t="s">
        <v>372</v>
      </c>
      <c r="B562" s="156" t="s">
        <v>373</v>
      </c>
      <c r="C562" s="605"/>
      <c r="D562" s="27">
        <f t="shared" ref="D562:F564" si="181">D563</f>
        <v>3172</v>
      </c>
      <c r="E562" s="27">
        <f t="shared" si="181"/>
        <v>2593</v>
      </c>
      <c r="F562" s="27">
        <f t="shared" si="181"/>
        <v>0</v>
      </c>
      <c r="G562" s="152"/>
    </row>
    <row r="563" spans="1:7" s="177" customFormat="1" x14ac:dyDescent="0.25">
      <c r="A563" s="258" t="s">
        <v>374</v>
      </c>
      <c r="B563" s="156" t="s">
        <v>375</v>
      </c>
      <c r="C563" s="610"/>
      <c r="D563" s="27">
        <f t="shared" si="181"/>
        <v>3172</v>
      </c>
      <c r="E563" s="27">
        <f t="shared" si="181"/>
        <v>2593</v>
      </c>
      <c r="F563" s="27">
        <f t="shared" si="181"/>
        <v>0</v>
      </c>
      <c r="G563" s="152"/>
    </row>
    <row r="564" spans="1:7" s="177" customFormat="1" x14ac:dyDescent="0.25">
      <c r="A564" s="523" t="s">
        <v>120</v>
      </c>
      <c r="B564" s="156" t="s">
        <v>375</v>
      </c>
      <c r="C564" s="444">
        <v>200</v>
      </c>
      <c r="D564" s="27">
        <f t="shared" si="181"/>
        <v>3172</v>
      </c>
      <c r="E564" s="27">
        <f t="shared" si="181"/>
        <v>2593</v>
      </c>
      <c r="F564" s="27">
        <f t="shared" si="181"/>
        <v>0</v>
      </c>
      <c r="G564" s="152"/>
    </row>
    <row r="565" spans="1:7" s="177" customFormat="1" x14ac:dyDescent="0.25">
      <c r="A565" s="523" t="s">
        <v>52</v>
      </c>
      <c r="B565" s="156" t="s">
        <v>375</v>
      </c>
      <c r="C565" s="444">
        <v>240</v>
      </c>
      <c r="D565" s="27">
        <f>'Функц. 2025-2027'!F358</f>
        <v>3172</v>
      </c>
      <c r="E565" s="27">
        <f>'Функц. 2025-2027'!H358</f>
        <v>2593</v>
      </c>
      <c r="F565" s="27">
        <f>'Функц. 2025-2027'!J358</f>
        <v>0</v>
      </c>
      <c r="G565" s="152"/>
    </row>
    <row r="566" spans="1:7" s="177" customFormat="1" x14ac:dyDescent="0.25">
      <c r="A566" s="259" t="s">
        <v>390</v>
      </c>
      <c r="B566" s="156" t="s">
        <v>391</v>
      </c>
      <c r="C566" s="444"/>
      <c r="D566" s="27">
        <f t="shared" ref="D566:F568" si="182">D567</f>
        <v>350</v>
      </c>
      <c r="E566" s="27">
        <f t="shared" si="182"/>
        <v>110</v>
      </c>
      <c r="F566" s="27">
        <f t="shared" si="182"/>
        <v>0</v>
      </c>
      <c r="G566" s="152"/>
    </row>
    <row r="567" spans="1:7" s="177" customFormat="1" x14ac:dyDescent="0.25">
      <c r="A567" s="258" t="s">
        <v>392</v>
      </c>
      <c r="B567" s="156" t="s">
        <v>393</v>
      </c>
      <c r="C567" s="444"/>
      <c r="D567" s="27">
        <f t="shared" si="182"/>
        <v>350</v>
      </c>
      <c r="E567" s="27">
        <f t="shared" si="182"/>
        <v>110</v>
      </c>
      <c r="F567" s="27">
        <f t="shared" si="182"/>
        <v>0</v>
      </c>
      <c r="G567" s="152"/>
    </row>
    <row r="568" spans="1:7" s="177" customFormat="1" x14ac:dyDescent="0.25">
      <c r="A568" s="523" t="s">
        <v>120</v>
      </c>
      <c r="B568" s="156" t="s">
        <v>393</v>
      </c>
      <c r="C568" s="444">
        <v>200</v>
      </c>
      <c r="D568" s="27">
        <f t="shared" si="182"/>
        <v>350</v>
      </c>
      <c r="E568" s="27">
        <f t="shared" si="182"/>
        <v>110</v>
      </c>
      <c r="F568" s="27">
        <f t="shared" si="182"/>
        <v>0</v>
      </c>
      <c r="G568" s="152"/>
    </row>
    <row r="569" spans="1:7" s="177" customFormat="1" x14ac:dyDescent="0.25">
      <c r="A569" s="523" t="s">
        <v>52</v>
      </c>
      <c r="B569" s="156" t="s">
        <v>393</v>
      </c>
      <c r="C569" s="444">
        <v>240</v>
      </c>
      <c r="D569" s="27">
        <f>'Функц. 2025-2027'!F362</f>
        <v>350</v>
      </c>
      <c r="E569" s="27">
        <f>'Функц. 2025-2027'!H362</f>
        <v>110</v>
      </c>
      <c r="F569" s="27">
        <f>'Функц. 2025-2027'!J362</f>
        <v>0</v>
      </c>
      <c r="G569" s="152"/>
    </row>
    <row r="570" spans="1:7" s="177" customFormat="1" x14ac:dyDescent="0.25">
      <c r="A570" s="259" t="s">
        <v>376</v>
      </c>
      <c r="B570" s="156" t="s">
        <v>377</v>
      </c>
      <c r="C570" s="444"/>
      <c r="D570" s="27">
        <f t="shared" ref="D570:F572" si="183">D571</f>
        <v>300</v>
      </c>
      <c r="E570" s="27">
        <f t="shared" si="183"/>
        <v>300</v>
      </c>
      <c r="F570" s="27">
        <f t="shared" si="183"/>
        <v>0</v>
      </c>
      <c r="G570" s="152"/>
    </row>
    <row r="571" spans="1:7" s="177" customFormat="1" x14ac:dyDescent="0.25">
      <c r="A571" s="258" t="s">
        <v>378</v>
      </c>
      <c r="B571" s="156" t="s">
        <v>379</v>
      </c>
      <c r="C571" s="444"/>
      <c r="D571" s="27">
        <f t="shared" si="183"/>
        <v>300</v>
      </c>
      <c r="E571" s="27">
        <f t="shared" si="183"/>
        <v>300</v>
      </c>
      <c r="F571" s="27">
        <f t="shared" si="183"/>
        <v>0</v>
      </c>
      <c r="G571" s="152"/>
    </row>
    <row r="572" spans="1:7" s="177" customFormat="1" x14ac:dyDescent="0.25">
      <c r="A572" s="523" t="s">
        <v>120</v>
      </c>
      <c r="B572" s="156" t="s">
        <v>379</v>
      </c>
      <c r="C572" s="444">
        <v>200</v>
      </c>
      <c r="D572" s="27">
        <f t="shared" si="183"/>
        <v>300</v>
      </c>
      <c r="E572" s="27">
        <f t="shared" si="183"/>
        <v>300</v>
      </c>
      <c r="F572" s="27">
        <f t="shared" si="183"/>
        <v>0</v>
      </c>
      <c r="G572" s="152"/>
    </row>
    <row r="573" spans="1:7" s="177" customFormat="1" x14ac:dyDescent="0.25">
      <c r="A573" s="523" t="s">
        <v>52</v>
      </c>
      <c r="B573" s="156" t="s">
        <v>379</v>
      </c>
      <c r="C573" s="444">
        <v>240</v>
      </c>
      <c r="D573" s="27">
        <f>'Функц. 2025-2027'!F366</f>
        <v>300</v>
      </c>
      <c r="E573" s="27">
        <f>'Функц. 2025-2027'!H366</f>
        <v>300</v>
      </c>
      <c r="F573" s="27">
        <f>'Функц. 2025-2027'!J366</f>
        <v>0</v>
      </c>
      <c r="G573" s="152"/>
    </row>
    <row r="574" spans="1:7" x14ac:dyDescent="0.25">
      <c r="A574" s="451" t="s">
        <v>703</v>
      </c>
      <c r="B574" s="613" t="s">
        <v>702</v>
      </c>
      <c r="C574" s="456"/>
      <c r="D574" s="27">
        <f t="shared" ref="D574:F576" si="184">D575</f>
        <v>947</v>
      </c>
      <c r="E574" s="27">
        <f t="shared" si="184"/>
        <v>0</v>
      </c>
      <c r="F574" s="27">
        <f t="shared" si="184"/>
        <v>0</v>
      </c>
      <c r="G574" s="152"/>
    </row>
    <row r="575" spans="1:7" s="177" customFormat="1" ht="47.25" x14ac:dyDescent="0.25">
      <c r="A575" s="451" t="s">
        <v>700</v>
      </c>
      <c r="B575" s="622" t="s">
        <v>701</v>
      </c>
      <c r="C575" s="456"/>
      <c r="D575" s="27">
        <f t="shared" si="184"/>
        <v>947</v>
      </c>
      <c r="E575" s="27">
        <f t="shared" si="184"/>
        <v>0</v>
      </c>
      <c r="F575" s="27">
        <f t="shared" si="184"/>
        <v>0</v>
      </c>
      <c r="G575" s="152"/>
    </row>
    <row r="576" spans="1:7" s="177" customFormat="1" x14ac:dyDescent="0.25">
      <c r="A576" s="451" t="s">
        <v>120</v>
      </c>
      <c r="B576" s="622" t="s">
        <v>701</v>
      </c>
      <c r="C576" s="456">
        <v>200</v>
      </c>
      <c r="D576" s="27">
        <f t="shared" si="184"/>
        <v>947</v>
      </c>
      <c r="E576" s="27">
        <f t="shared" si="184"/>
        <v>0</v>
      </c>
      <c r="F576" s="27">
        <f t="shared" si="184"/>
        <v>0</v>
      </c>
      <c r="G576" s="152"/>
    </row>
    <row r="577" spans="1:30" s="177" customFormat="1" x14ac:dyDescent="0.25">
      <c r="A577" s="451" t="s">
        <v>52</v>
      </c>
      <c r="B577" s="622" t="s">
        <v>701</v>
      </c>
      <c r="C577" s="456">
        <v>240</v>
      </c>
      <c r="D577" s="27">
        <f>'Функц. 2025-2027'!F753</f>
        <v>947</v>
      </c>
      <c r="E577" s="27">
        <f>'Функц. 2025-2027'!H753</f>
        <v>0</v>
      </c>
      <c r="F577" s="27">
        <f>'Функц. 2025-2027'!J753</f>
        <v>0</v>
      </c>
      <c r="G577" s="152"/>
    </row>
    <row r="578" spans="1:30" s="177" customFormat="1" x14ac:dyDescent="0.25">
      <c r="A578" s="523" t="s">
        <v>48</v>
      </c>
      <c r="B578" s="156" t="s">
        <v>537</v>
      </c>
      <c r="C578" s="407"/>
      <c r="D578" s="27">
        <f t="shared" ref="D578:F581" si="185">D579</f>
        <v>57349</v>
      </c>
      <c r="E578" s="27">
        <f t="shared" si="185"/>
        <v>52633</v>
      </c>
      <c r="F578" s="27">
        <f t="shared" si="185"/>
        <v>53039</v>
      </c>
      <c r="G578" s="152"/>
    </row>
    <row r="579" spans="1:30" s="177" customFormat="1" ht="31.5" x14ac:dyDescent="0.25">
      <c r="A579" s="523" t="s">
        <v>327</v>
      </c>
      <c r="B579" s="156" t="s">
        <v>538</v>
      </c>
      <c r="C579" s="407"/>
      <c r="D579" s="27">
        <f t="shared" si="185"/>
        <v>57349</v>
      </c>
      <c r="E579" s="27">
        <f t="shared" si="185"/>
        <v>52633</v>
      </c>
      <c r="F579" s="27">
        <f t="shared" si="185"/>
        <v>53039</v>
      </c>
      <c r="G579" s="152"/>
    </row>
    <row r="580" spans="1:30" s="177" customFormat="1" ht="31.5" x14ac:dyDescent="0.25">
      <c r="A580" s="523" t="s">
        <v>235</v>
      </c>
      <c r="B580" s="156" t="s">
        <v>539</v>
      </c>
      <c r="C580" s="407"/>
      <c r="D580" s="27">
        <f t="shared" si="185"/>
        <v>57349</v>
      </c>
      <c r="E580" s="27">
        <f t="shared" si="185"/>
        <v>52633</v>
      </c>
      <c r="F580" s="27">
        <f t="shared" si="185"/>
        <v>53039</v>
      </c>
      <c r="G580" s="152"/>
    </row>
    <row r="581" spans="1:30" s="177" customFormat="1" ht="31.5" x14ac:dyDescent="0.25">
      <c r="A581" s="523" t="s">
        <v>60</v>
      </c>
      <c r="B581" s="156" t="s">
        <v>539</v>
      </c>
      <c r="C581" s="407">
        <v>600</v>
      </c>
      <c r="D581" s="27">
        <f t="shared" si="185"/>
        <v>57349</v>
      </c>
      <c r="E581" s="27">
        <f t="shared" si="185"/>
        <v>52633</v>
      </c>
      <c r="F581" s="27">
        <f t="shared" si="185"/>
        <v>53039</v>
      </c>
      <c r="G581" s="152"/>
    </row>
    <row r="582" spans="1:30" s="290" customFormat="1" x14ac:dyDescent="0.25">
      <c r="A582" s="523" t="s">
        <v>61</v>
      </c>
      <c r="B582" s="156" t="s">
        <v>539</v>
      </c>
      <c r="C582" s="407">
        <v>610</v>
      </c>
      <c r="D582" s="27">
        <f>'Функц. 2025-2027'!F207</f>
        <v>57349</v>
      </c>
      <c r="E582" s="27">
        <f>'Функц. 2025-2027'!H207</f>
        <v>52633</v>
      </c>
      <c r="F582" s="27">
        <f>'Функц. 2025-2027'!J207</f>
        <v>53039</v>
      </c>
      <c r="G582" s="289"/>
    </row>
    <row r="583" spans="1:30" x14ac:dyDescent="0.25">
      <c r="A583" s="396" t="s">
        <v>249</v>
      </c>
      <c r="B583" s="615" t="s">
        <v>250</v>
      </c>
      <c r="C583" s="601"/>
      <c r="D583" s="30">
        <f t="shared" ref="D583:F584" si="186">D584</f>
        <v>1510</v>
      </c>
      <c r="E583" s="30">
        <f t="shared" si="186"/>
        <v>210</v>
      </c>
      <c r="F583" s="30">
        <f t="shared" si="186"/>
        <v>0</v>
      </c>
      <c r="G583" s="152"/>
    </row>
    <row r="584" spans="1:30" ht="31.5" x14ac:dyDescent="0.25">
      <c r="A584" s="271" t="s">
        <v>777</v>
      </c>
      <c r="B584" s="156" t="s">
        <v>251</v>
      </c>
      <c r="C584" s="407"/>
      <c r="D584" s="27">
        <f t="shared" si="186"/>
        <v>1510</v>
      </c>
      <c r="E584" s="27">
        <f t="shared" si="186"/>
        <v>210</v>
      </c>
      <c r="F584" s="27">
        <f t="shared" si="186"/>
        <v>0</v>
      </c>
      <c r="G584" s="152"/>
    </row>
    <row r="585" spans="1:30" ht="39" customHeight="1" x14ac:dyDescent="0.25">
      <c r="A585" s="271" t="s">
        <v>790</v>
      </c>
      <c r="B585" s="156" t="s">
        <v>618</v>
      </c>
      <c r="C585" s="444"/>
      <c r="D585" s="27">
        <f t="shared" ref="D585:F586" si="187">D586</f>
        <v>1510</v>
      </c>
      <c r="E585" s="27">
        <f t="shared" si="187"/>
        <v>210</v>
      </c>
      <c r="F585" s="27">
        <f t="shared" si="187"/>
        <v>0</v>
      </c>
      <c r="G585" s="152"/>
    </row>
    <row r="586" spans="1:30" ht="31.5" x14ac:dyDescent="0.25">
      <c r="A586" s="255" t="s">
        <v>620</v>
      </c>
      <c r="B586" s="156" t="s">
        <v>619</v>
      </c>
      <c r="C586" s="444"/>
      <c r="D586" s="27">
        <f>D587</f>
        <v>1510</v>
      </c>
      <c r="E586" s="27">
        <f t="shared" si="187"/>
        <v>210</v>
      </c>
      <c r="F586" s="27">
        <f t="shared" si="187"/>
        <v>0</v>
      </c>
      <c r="G586" s="152"/>
    </row>
    <row r="587" spans="1:30" s="177" customFormat="1" x14ac:dyDescent="0.25">
      <c r="A587" s="273" t="s">
        <v>120</v>
      </c>
      <c r="B587" s="156" t="s">
        <v>619</v>
      </c>
      <c r="C587" s="444">
        <v>200</v>
      </c>
      <c r="D587" s="27">
        <f>D588</f>
        <v>1510</v>
      </c>
      <c r="E587" s="27">
        <f>E588</f>
        <v>210</v>
      </c>
      <c r="F587" s="27">
        <f>F588</f>
        <v>0</v>
      </c>
      <c r="G587" s="152"/>
    </row>
    <row r="588" spans="1:30" s="177" customFormat="1" x14ac:dyDescent="0.25">
      <c r="A588" s="273" t="s">
        <v>52</v>
      </c>
      <c r="B588" s="156" t="s">
        <v>619</v>
      </c>
      <c r="C588" s="444">
        <v>240</v>
      </c>
      <c r="D588" s="27">
        <f>'Функц. 2025-2027'!F470</f>
        <v>1510</v>
      </c>
      <c r="E588" s="27">
        <f>'Функц. 2025-2027'!H470</f>
        <v>210</v>
      </c>
      <c r="F588" s="27">
        <f>'Функц. 2025-2027'!J470</f>
        <v>0</v>
      </c>
      <c r="G588" s="152"/>
    </row>
    <row r="589" spans="1:30" x14ac:dyDescent="0.25">
      <c r="A589" s="395" t="s">
        <v>242</v>
      </c>
      <c r="B589" s="615" t="s">
        <v>243</v>
      </c>
      <c r="C589" s="532"/>
      <c r="D589" s="30">
        <f>D616+D662+D590</f>
        <v>943165.3</v>
      </c>
      <c r="E589" s="30">
        <f>E616+E662+E590</f>
        <v>482675.7</v>
      </c>
      <c r="F589" s="30">
        <f>F616+F662+F590</f>
        <v>747059.10000000009</v>
      </c>
      <c r="G589" s="152"/>
    </row>
    <row r="590" spans="1:30" s="177" customFormat="1" x14ac:dyDescent="0.25">
      <c r="A590" s="259" t="s">
        <v>370</v>
      </c>
      <c r="B590" s="156" t="s">
        <v>371</v>
      </c>
      <c r="C590" s="532"/>
      <c r="D590" s="27">
        <f>D591+D606</f>
        <v>462076.5</v>
      </c>
      <c r="E590" s="27">
        <f>E591+E606</f>
        <v>16969.400000000001</v>
      </c>
      <c r="F590" s="27">
        <f>F591+F606</f>
        <v>242420</v>
      </c>
      <c r="G590" s="152"/>
    </row>
    <row r="591" spans="1:30" s="177" customFormat="1" ht="31.5" x14ac:dyDescent="0.25">
      <c r="A591" s="259" t="s">
        <v>394</v>
      </c>
      <c r="B591" s="156" t="s">
        <v>395</v>
      </c>
      <c r="C591" s="525"/>
      <c r="D591" s="27">
        <f>D601+D598+D592+D595</f>
        <v>289619.40000000002</v>
      </c>
      <c r="E591" s="517">
        <f t="shared" ref="E591:AD591" si="188">E601+E598+E592+E595</f>
        <v>0</v>
      </c>
      <c r="F591" s="517">
        <f t="shared" si="188"/>
        <v>0</v>
      </c>
      <c r="G591" s="517">
        <f t="shared" si="188"/>
        <v>0</v>
      </c>
      <c r="H591" s="517">
        <f t="shared" si="188"/>
        <v>0</v>
      </c>
      <c r="I591" s="517">
        <f t="shared" si="188"/>
        <v>0</v>
      </c>
      <c r="J591" s="517">
        <f t="shared" si="188"/>
        <v>0</v>
      </c>
      <c r="K591" s="517">
        <f t="shared" si="188"/>
        <v>0</v>
      </c>
      <c r="L591" s="517">
        <f t="shared" si="188"/>
        <v>0</v>
      </c>
      <c r="M591" s="517">
        <f t="shared" si="188"/>
        <v>0</v>
      </c>
      <c r="N591" s="517">
        <f t="shared" si="188"/>
        <v>0</v>
      </c>
      <c r="O591" s="517">
        <f t="shared" si="188"/>
        <v>0</v>
      </c>
      <c r="P591" s="517">
        <f t="shared" si="188"/>
        <v>0</v>
      </c>
      <c r="Q591" s="517">
        <f t="shared" si="188"/>
        <v>0</v>
      </c>
      <c r="R591" s="517">
        <f t="shared" si="188"/>
        <v>0</v>
      </c>
      <c r="S591" s="517">
        <f t="shared" si="188"/>
        <v>0</v>
      </c>
      <c r="T591" s="517">
        <f t="shared" si="188"/>
        <v>0</v>
      </c>
      <c r="U591" s="517">
        <f t="shared" si="188"/>
        <v>0</v>
      </c>
      <c r="V591" s="517">
        <f t="shared" si="188"/>
        <v>0</v>
      </c>
      <c r="W591" s="517">
        <f t="shared" si="188"/>
        <v>0</v>
      </c>
      <c r="X591" s="517">
        <f t="shared" si="188"/>
        <v>0</v>
      </c>
      <c r="Y591" s="517">
        <f t="shared" si="188"/>
        <v>0</v>
      </c>
      <c r="Z591" s="517">
        <f t="shared" si="188"/>
        <v>0</v>
      </c>
      <c r="AA591" s="517">
        <f t="shared" si="188"/>
        <v>0</v>
      </c>
      <c r="AB591" s="517">
        <f t="shared" si="188"/>
        <v>0</v>
      </c>
      <c r="AC591" s="517">
        <f t="shared" si="188"/>
        <v>0</v>
      </c>
      <c r="AD591" s="517">
        <f t="shared" si="188"/>
        <v>0</v>
      </c>
    </row>
    <row r="592" spans="1:30" s="519" customFormat="1" ht="31.5" x14ac:dyDescent="0.25">
      <c r="A592" s="457" t="s">
        <v>811</v>
      </c>
      <c r="B592" s="542" t="s">
        <v>812</v>
      </c>
      <c r="C592" s="473"/>
      <c r="D592" s="517">
        <f>D593</f>
        <v>12113.7</v>
      </c>
      <c r="E592" s="517">
        <f t="shared" ref="E592:F593" si="189">E593</f>
        <v>0</v>
      </c>
      <c r="F592" s="517">
        <f t="shared" si="189"/>
        <v>0</v>
      </c>
      <c r="G592" s="520"/>
    </row>
    <row r="593" spans="1:30" s="519" customFormat="1" x14ac:dyDescent="0.25">
      <c r="A593" s="451" t="s">
        <v>120</v>
      </c>
      <c r="B593" s="542" t="s">
        <v>812</v>
      </c>
      <c r="C593" s="473" t="s">
        <v>37</v>
      </c>
      <c r="D593" s="517">
        <f>D594</f>
        <v>12113.7</v>
      </c>
      <c r="E593" s="517">
        <f t="shared" si="189"/>
        <v>0</v>
      </c>
      <c r="F593" s="517">
        <f t="shared" si="189"/>
        <v>0</v>
      </c>
      <c r="G593" s="517">
        <f t="shared" ref="G593:AD593" si="190">G594</f>
        <v>0</v>
      </c>
      <c r="H593" s="517">
        <f t="shared" si="190"/>
        <v>0</v>
      </c>
      <c r="I593" s="517">
        <f t="shared" si="190"/>
        <v>0</v>
      </c>
      <c r="J593" s="517">
        <f t="shared" si="190"/>
        <v>0</v>
      </c>
      <c r="K593" s="517">
        <f t="shared" si="190"/>
        <v>0</v>
      </c>
      <c r="L593" s="517">
        <f t="shared" si="190"/>
        <v>0</v>
      </c>
      <c r="M593" s="517">
        <f t="shared" si="190"/>
        <v>0</v>
      </c>
      <c r="N593" s="517">
        <f t="shared" si="190"/>
        <v>0</v>
      </c>
      <c r="O593" s="517">
        <f t="shared" si="190"/>
        <v>0</v>
      </c>
      <c r="P593" s="517">
        <f t="shared" si="190"/>
        <v>0</v>
      </c>
      <c r="Q593" s="517">
        <f t="shared" si="190"/>
        <v>0</v>
      </c>
      <c r="R593" s="517">
        <f t="shared" si="190"/>
        <v>0</v>
      </c>
      <c r="S593" s="517">
        <f t="shared" si="190"/>
        <v>0</v>
      </c>
      <c r="T593" s="517">
        <f t="shared" si="190"/>
        <v>0</v>
      </c>
      <c r="U593" s="517">
        <f t="shared" si="190"/>
        <v>0</v>
      </c>
      <c r="V593" s="517">
        <f t="shared" si="190"/>
        <v>0</v>
      </c>
      <c r="W593" s="517">
        <f t="shared" si="190"/>
        <v>0</v>
      </c>
      <c r="X593" s="517">
        <f t="shared" si="190"/>
        <v>0</v>
      </c>
      <c r="Y593" s="517">
        <f t="shared" si="190"/>
        <v>0</v>
      </c>
      <c r="Z593" s="517">
        <f t="shared" si="190"/>
        <v>0</v>
      </c>
      <c r="AA593" s="517">
        <f t="shared" si="190"/>
        <v>0</v>
      </c>
      <c r="AB593" s="517">
        <f t="shared" si="190"/>
        <v>0</v>
      </c>
      <c r="AC593" s="517">
        <f t="shared" si="190"/>
        <v>0</v>
      </c>
      <c r="AD593" s="517">
        <f t="shared" si="190"/>
        <v>0</v>
      </c>
    </row>
    <row r="594" spans="1:30" s="519" customFormat="1" x14ac:dyDescent="0.25">
      <c r="A594" s="451" t="s">
        <v>52</v>
      </c>
      <c r="B594" s="542" t="s">
        <v>812</v>
      </c>
      <c r="C594" s="473" t="s">
        <v>65</v>
      </c>
      <c r="D594" s="517">
        <f>'Функц. 2025-2027'!F476</f>
        <v>12113.7</v>
      </c>
      <c r="E594" s="517">
        <f>'Функц. 2025-2027'!H476</f>
        <v>0</v>
      </c>
      <c r="F594" s="517">
        <f>'Функц. 2025-2027'!J476</f>
        <v>0</v>
      </c>
      <c r="G594" s="520"/>
    </row>
    <row r="595" spans="1:30" s="519" customFormat="1" x14ac:dyDescent="0.25">
      <c r="A595" s="451" t="s">
        <v>833</v>
      </c>
      <c r="B595" s="542" t="s">
        <v>834</v>
      </c>
      <c r="C595" s="454"/>
      <c r="D595" s="517">
        <f>D596</f>
        <v>14734.3</v>
      </c>
      <c r="E595" s="517">
        <f t="shared" ref="E595:F596" si="191">E596</f>
        <v>0</v>
      </c>
      <c r="F595" s="517">
        <f t="shared" si="191"/>
        <v>0</v>
      </c>
      <c r="G595" s="520"/>
    </row>
    <row r="596" spans="1:30" s="519" customFormat="1" x14ac:dyDescent="0.25">
      <c r="A596" s="451" t="s">
        <v>120</v>
      </c>
      <c r="B596" s="542" t="s">
        <v>834</v>
      </c>
      <c r="C596" s="482">
        <v>200</v>
      </c>
      <c r="D596" s="517">
        <f>D597</f>
        <v>14734.3</v>
      </c>
      <c r="E596" s="517">
        <f t="shared" si="191"/>
        <v>0</v>
      </c>
      <c r="F596" s="517">
        <f t="shared" si="191"/>
        <v>0</v>
      </c>
      <c r="G596" s="520"/>
    </row>
    <row r="597" spans="1:30" s="519" customFormat="1" x14ac:dyDescent="0.25">
      <c r="A597" s="451" t="s">
        <v>52</v>
      </c>
      <c r="B597" s="542" t="s">
        <v>834</v>
      </c>
      <c r="C597" s="454">
        <v>240</v>
      </c>
      <c r="D597" s="517">
        <f>'Функц. 2025-2027'!F479</f>
        <v>14734.3</v>
      </c>
      <c r="E597" s="517">
        <f>'Функц. 2025-2027'!H478</f>
        <v>0</v>
      </c>
      <c r="F597" s="517">
        <f>'Функц. 2025-2027'!J479</f>
        <v>0</v>
      </c>
      <c r="G597" s="520"/>
    </row>
    <row r="598" spans="1:30" s="519" customFormat="1" x14ac:dyDescent="0.25">
      <c r="A598" s="451" t="s">
        <v>756</v>
      </c>
      <c r="B598" s="613" t="s">
        <v>757</v>
      </c>
      <c r="C598" s="468"/>
      <c r="D598" s="517">
        <f>D599</f>
        <v>30471.4</v>
      </c>
      <c r="E598" s="517">
        <f t="shared" ref="E598:AD599" si="192">E599</f>
        <v>0</v>
      </c>
      <c r="F598" s="517">
        <f t="shared" si="192"/>
        <v>0</v>
      </c>
      <c r="G598" s="517">
        <f t="shared" si="192"/>
        <v>0</v>
      </c>
      <c r="H598" s="517">
        <f t="shared" si="192"/>
        <v>0</v>
      </c>
      <c r="I598" s="517">
        <f t="shared" si="192"/>
        <v>0</v>
      </c>
      <c r="J598" s="517">
        <f t="shared" si="192"/>
        <v>0</v>
      </c>
      <c r="K598" s="517">
        <f t="shared" si="192"/>
        <v>0</v>
      </c>
      <c r="L598" s="517">
        <f t="shared" si="192"/>
        <v>0</v>
      </c>
      <c r="M598" s="517">
        <f t="shared" si="192"/>
        <v>0</v>
      </c>
      <c r="N598" s="517">
        <f t="shared" si="192"/>
        <v>0</v>
      </c>
      <c r="O598" s="517">
        <f t="shared" si="192"/>
        <v>0</v>
      </c>
      <c r="P598" s="517">
        <f t="shared" si="192"/>
        <v>0</v>
      </c>
      <c r="Q598" s="517">
        <f t="shared" si="192"/>
        <v>0</v>
      </c>
      <c r="R598" s="517">
        <f t="shared" si="192"/>
        <v>0</v>
      </c>
      <c r="S598" s="517">
        <f t="shared" si="192"/>
        <v>0</v>
      </c>
      <c r="T598" s="517">
        <f t="shared" si="192"/>
        <v>0</v>
      </c>
      <c r="U598" s="517">
        <f t="shared" si="192"/>
        <v>0</v>
      </c>
      <c r="V598" s="517">
        <f t="shared" si="192"/>
        <v>0</v>
      </c>
      <c r="W598" s="517">
        <f t="shared" si="192"/>
        <v>0</v>
      </c>
      <c r="X598" s="517">
        <f t="shared" si="192"/>
        <v>0</v>
      </c>
      <c r="Y598" s="517">
        <f t="shared" si="192"/>
        <v>0</v>
      </c>
      <c r="Z598" s="517">
        <f t="shared" si="192"/>
        <v>0</v>
      </c>
      <c r="AA598" s="517">
        <f t="shared" si="192"/>
        <v>0</v>
      </c>
      <c r="AB598" s="517">
        <f t="shared" si="192"/>
        <v>0</v>
      </c>
      <c r="AC598" s="517">
        <f t="shared" si="192"/>
        <v>0</v>
      </c>
      <c r="AD598" s="517">
        <f t="shared" si="192"/>
        <v>0</v>
      </c>
    </row>
    <row r="599" spans="1:30" s="519" customFormat="1" x14ac:dyDescent="0.25">
      <c r="A599" s="451" t="s">
        <v>120</v>
      </c>
      <c r="B599" s="613" t="s">
        <v>757</v>
      </c>
      <c r="C599" s="468" t="s">
        <v>37</v>
      </c>
      <c r="D599" s="517">
        <f>D600</f>
        <v>30471.4</v>
      </c>
      <c r="E599" s="517">
        <f t="shared" si="192"/>
        <v>0</v>
      </c>
      <c r="F599" s="517">
        <f t="shared" si="192"/>
        <v>0</v>
      </c>
      <c r="G599" s="520"/>
    </row>
    <row r="600" spans="1:30" s="519" customFormat="1" x14ac:dyDescent="0.25">
      <c r="A600" s="451" t="s">
        <v>52</v>
      </c>
      <c r="B600" s="613" t="s">
        <v>757</v>
      </c>
      <c r="C600" s="468" t="s">
        <v>65</v>
      </c>
      <c r="D600" s="517">
        <f>'Функц. 2025-2027'!F482</f>
        <v>30471.4</v>
      </c>
      <c r="E600" s="140">
        <f>'Функц. 2025-2027'!H482</f>
        <v>0</v>
      </c>
      <c r="F600" s="140">
        <f>'Функц. 2025-2027'!J482</f>
        <v>0</v>
      </c>
      <c r="G600" s="520"/>
    </row>
    <row r="601" spans="1:30" s="177" customFormat="1" x14ac:dyDescent="0.25">
      <c r="A601" s="523" t="s">
        <v>397</v>
      </c>
      <c r="B601" s="156" t="s">
        <v>398</v>
      </c>
      <c r="C601" s="525"/>
      <c r="D601" s="27">
        <f>D602+D604</f>
        <v>232300</v>
      </c>
      <c r="E601" s="27">
        <f t="shared" ref="D601:F602" si="193">E602</f>
        <v>0</v>
      </c>
      <c r="F601" s="140">
        <f t="shared" si="193"/>
        <v>0</v>
      </c>
      <c r="G601" s="152"/>
    </row>
    <row r="602" spans="1:30" s="177" customFormat="1" x14ac:dyDescent="0.25">
      <c r="A602" s="523" t="s">
        <v>120</v>
      </c>
      <c r="B602" s="156" t="s">
        <v>398</v>
      </c>
      <c r="C602" s="525" t="s">
        <v>37</v>
      </c>
      <c r="D602" s="27">
        <f t="shared" si="193"/>
        <v>205026.5</v>
      </c>
      <c r="E602" s="27">
        <f t="shared" si="193"/>
        <v>0</v>
      </c>
      <c r="F602" s="140">
        <f t="shared" si="193"/>
        <v>0</v>
      </c>
      <c r="G602" s="152"/>
    </row>
    <row r="603" spans="1:30" s="177" customFormat="1" x14ac:dyDescent="0.25">
      <c r="A603" s="523" t="s">
        <v>52</v>
      </c>
      <c r="B603" s="156" t="s">
        <v>398</v>
      </c>
      <c r="C603" s="525" t="s">
        <v>65</v>
      </c>
      <c r="D603" s="27">
        <f>'Функц. 2025-2027'!F485</f>
        <v>205026.5</v>
      </c>
      <c r="E603" s="27">
        <f>'Функц. 2025-2027'!H485</f>
        <v>0</v>
      </c>
      <c r="F603" s="140">
        <f>'Функц. 2025-2027'!J485</f>
        <v>0</v>
      </c>
      <c r="G603" s="152"/>
    </row>
    <row r="604" spans="1:30" s="519" customFormat="1" ht="31.5" x14ac:dyDescent="0.25">
      <c r="A604" s="523" t="s">
        <v>60</v>
      </c>
      <c r="B604" s="156" t="s">
        <v>398</v>
      </c>
      <c r="C604" s="525" t="s">
        <v>387</v>
      </c>
      <c r="D604" s="517">
        <f>D605</f>
        <v>27273.500000000004</v>
      </c>
      <c r="E604" s="517">
        <f t="shared" ref="E604:F604" si="194">E605</f>
        <v>0</v>
      </c>
      <c r="F604" s="517">
        <f t="shared" si="194"/>
        <v>0</v>
      </c>
      <c r="G604" s="520"/>
    </row>
    <row r="605" spans="1:30" s="519" customFormat="1" x14ac:dyDescent="0.25">
      <c r="A605" s="523" t="s">
        <v>61</v>
      </c>
      <c r="B605" s="156" t="s">
        <v>398</v>
      </c>
      <c r="C605" s="525" t="s">
        <v>388</v>
      </c>
      <c r="D605" s="517">
        <f>'Функц. 2025-2027'!F487</f>
        <v>27273.500000000004</v>
      </c>
      <c r="E605" s="517">
        <v>0</v>
      </c>
      <c r="F605" s="140">
        <v>0</v>
      </c>
      <c r="G605" s="520"/>
    </row>
    <row r="606" spans="1:30" s="177" customFormat="1" x14ac:dyDescent="0.25">
      <c r="A606" s="257" t="s">
        <v>650</v>
      </c>
      <c r="B606" s="156" t="s">
        <v>651</v>
      </c>
      <c r="C606" s="525"/>
      <c r="D606" s="27">
        <f>D610+D613+D607</f>
        <v>172457.1</v>
      </c>
      <c r="E606" s="517">
        <f t="shared" ref="E606:F606" si="195">E610+E613+E607</f>
        <v>16969.400000000001</v>
      </c>
      <c r="F606" s="517">
        <f t="shared" si="195"/>
        <v>242420</v>
      </c>
      <c r="G606" s="152"/>
    </row>
    <row r="607" spans="1:30" s="519" customFormat="1" ht="63" x14ac:dyDescent="0.25">
      <c r="A607" s="466" t="s">
        <v>792</v>
      </c>
      <c r="B607" s="409" t="s">
        <v>793</v>
      </c>
      <c r="C607" s="473"/>
      <c r="D607" s="517">
        <f>D608</f>
        <v>30382</v>
      </c>
      <c r="E607" s="517">
        <f t="shared" ref="E607:F608" si="196">E608</f>
        <v>0</v>
      </c>
      <c r="F607" s="517">
        <f t="shared" si="196"/>
        <v>0</v>
      </c>
      <c r="G607" s="520"/>
    </row>
    <row r="608" spans="1:30" s="519" customFormat="1" x14ac:dyDescent="0.25">
      <c r="A608" s="451" t="s">
        <v>120</v>
      </c>
      <c r="B608" s="409" t="s">
        <v>793</v>
      </c>
      <c r="C608" s="473" t="s">
        <v>37</v>
      </c>
      <c r="D608" s="517">
        <f>D609</f>
        <v>30382</v>
      </c>
      <c r="E608" s="517">
        <f t="shared" si="196"/>
        <v>0</v>
      </c>
      <c r="F608" s="517">
        <f t="shared" si="196"/>
        <v>0</v>
      </c>
      <c r="G608" s="520"/>
    </row>
    <row r="609" spans="1:30" s="519" customFormat="1" x14ac:dyDescent="0.25">
      <c r="A609" s="451" t="s">
        <v>52</v>
      </c>
      <c r="B609" s="409" t="s">
        <v>793</v>
      </c>
      <c r="C609" s="473" t="s">
        <v>65</v>
      </c>
      <c r="D609" s="517">
        <f>'Функц. 2025-2027'!F491</f>
        <v>30382</v>
      </c>
      <c r="E609" s="140">
        <f>'Функц. 2025-2027'!H491</f>
        <v>0</v>
      </c>
      <c r="F609" s="140">
        <f>'Функц. 2025-2027'!J491</f>
        <v>0</v>
      </c>
      <c r="G609" s="520"/>
    </row>
    <row r="610" spans="1:30" s="177" customFormat="1" ht="47.25" x14ac:dyDescent="0.25">
      <c r="A610" s="523" t="s">
        <v>649</v>
      </c>
      <c r="B610" s="156" t="s">
        <v>652</v>
      </c>
      <c r="C610" s="525"/>
      <c r="D610" s="27">
        <f xml:space="preserve"> D611</f>
        <v>142075.1</v>
      </c>
      <c r="E610" s="140">
        <f xml:space="preserve"> E611</f>
        <v>0</v>
      </c>
      <c r="F610" s="140">
        <f xml:space="preserve"> F611</f>
        <v>0</v>
      </c>
      <c r="G610" s="152"/>
    </row>
    <row r="611" spans="1:30" s="177" customFormat="1" x14ac:dyDescent="0.25">
      <c r="A611" s="523" t="s">
        <v>120</v>
      </c>
      <c r="B611" s="156" t="s">
        <v>652</v>
      </c>
      <c r="C611" s="525" t="s">
        <v>37</v>
      </c>
      <c r="D611" s="27">
        <f>D612</f>
        <v>142075.1</v>
      </c>
      <c r="E611" s="140">
        <f>E612</f>
        <v>0</v>
      </c>
      <c r="F611" s="140">
        <f>F612</f>
        <v>0</v>
      </c>
      <c r="G611" s="152"/>
    </row>
    <row r="612" spans="1:30" s="177" customFormat="1" x14ac:dyDescent="0.25">
      <c r="A612" s="523" t="s">
        <v>52</v>
      </c>
      <c r="B612" s="156" t="s">
        <v>652</v>
      </c>
      <c r="C612" s="525" t="s">
        <v>65</v>
      </c>
      <c r="D612" s="27">
        <f>'Функц. 2025-2027'!F494</f>
        <v>142075.1</v>
      </c>
      <c r="E612" s="140">
        <f>'Функц. 2025-2027'!H494</f>
        <v>0</v>
      </c>
      <c r="F612" s="140">
        <f>'Функц. 2025-2027'!J494</f>
        <v>0</v>
      </c>
      <c r="G612" s="267"/>
    </row>
    <row r="613" spans="1:30" s="519" customFormat="1" ht="31.5" x14ac:dyDescent="0.25">
      <c r="A613" s="451" t="s">
        <v>622</v>
      </c>
      <c r="B613" s="156" t="s">
        <v>655</v>
      </c>
      <c r="C613" s="468"/>
      <c r="D613" s="517">
        <f>D614</f>
        <v>0</v>
      </c>
      <c r="E613" s="517">
        <f t="shared" ref="E613:F613" si="197">E614</f>
        <v>16969.400000000001</v>
      </c>
      <c r="F613" s="517">
        <f t="shared" si="197"/>
        <v>242420</v>
      </c>
      <c r="G613" s="267"/>
    </row>
    <row r="614" spans="1:30" s="519" customFormat="1" x14ac:dyDescent="0.25">
      <c r="A614" s="451" t="s">
        <v>120</v>
      </c>
      <c r="B614" s="156" t="s">
        <v>655</v>
      </c>
      <c r="C614" s="468" t="s">
        <v>37</v>
      </c>
      <c r="D614" s="517">
        <f>D615</f>
        <v>0</v>
      </c>
      <c r="E614" s="517">
        <f t="shared" ref="E614:F614" si="198">E615</f>
        <v>16969.400000000001</v>
      </c>
      <c r="F614" s="517">
        <f t="shared" si="198"/>
        <v>242420</v>
      </c>
      <c r="G614" s="267"/>
    </row>
    <row r="615" spans="1:30" s="519" customFormat="1" x14ac:dyDescent="0.25">
      <c r="A615" s="451" t="s">
        <v>52</v>
      </c>
      <c r="B615" s="156" t="s">
        <v>655</v>
      </c>
      <c r="C615" s="468" t="s">
        <v>65</v>
      </c>
      <c r="D615" s="517">
        <f>'Функц. 2025-2027'!F497</f>
        <v>0</v>
      </c>
      <c r="E615" s="140">
        <f>'Функц. 2025-2027'!H497</f>
        <v>16969.400000000001</v>
      </c>
      <c r="F615" s="140">
        <f>'Функц. 2025-2027'!J497</f>
        <v>242420</v>
      </c>
      <c r="G615" s="267"/>
    </row>
    <row r="616" spans="1:30" ht="31.5" x14ac:dyDescent="0.25">
      <c r="A616" s="275" t="s">
        <v>540</v>
      </c>
      <c r="B616" s="156" t="s">
        <v>244</v>
      </c>
      <c r="C616" s="444"/>
      <c r="D616" s="27">
        <f t="shared" ref="D616:AD616" si="199">D617+D654+D658</f>
        <v>451872.39999999997</v>
      </c>
      <c r="E616" s="517">
        <f t="shared" si="199"/>
        <v>437198.39999999997</v>
      </c>
      <c r="F616" s="517">
        <f t="shared" si="199"/>
        <v>476131.2</v>
      </c>
      <c r="G616" s="517">
        <f t="shared" si="199"/>
        <v>0</v>
      </c>
      <c r="H616" s="517">
        <f t="shared" si="199"/>
        <v>0</v>
      </c>
      <c r="I616" s="517">
        <f t="shared" si="199"/>
        <v>0</v>
      </c>
      <c r="J616" s="517">
        <f t="shared" si="199"/>
        <v>0</v>
      </c>
      <c r="K616" s="517">
        <f t="shared" si="199"/>
        <v>0</v>
      </c>
      <c r="L616" s="517">
        <f t="shared" si="199"/>
        <v>0</v>
      </c>
      <c r="M616" s="517">
        <f t="shared" si="199"/>
        <v>0</v>
      </c>
      <c r="N616" s="517">
        <f t="shared" si="199"/>
        <v>0</v>
      </c>
      <c r="O616" s="517">
        <f t="shared" si="199"/>
        <v>0</v>
      </c>
      <c r="P616" s="517">
        <f t="shared" si="199"/>
        <v>0</v>
      </c>
      <c r="Q616" s="517">
        <f t="shared" si="199"/>
        <v>0</v>
      </c>
      <c r="R616" s="517">
        <f t="shared" si="199"/>
        <v>0</v>
      </c>
      <c r="S616" s="517">
        <f t="shared" si="199"/>
        <v>0</v>
      </c>
      <c r="T616" s="517">
        <f t="shared" si="199"/>
        <v>0</v>
      </c>
      <c r="U616" s="517">
        <f t="shared" si="199"/>
        <v>0</v>
      </c>
      <c r="V616" s="517">
        <f t="shared" si="199"/>
        <v>0</v>
      </c>
      <c r="W616" s="517">
        <f t="shared" si="199"/>
        <v>0</v>
      </c>
      <c r="X616" s="517">
        <f t="shared" si="199"/>
        <v>0</v>
      </c>
      <c r="Y616" s="517">
        <f t="shared" si="199"/>
        <v>0</v>
      </c>
      <c r="Z616" s="517">
        <f t="shared" si="199"/>
        <v>0</v>
      </c>
      <c r="AA616" s="517">
        <f t="shared" si="199"/>
        <v>0</v>
      </c>
      <c r="AB616" s="517">
        <f t="shared" si="199"/>
        <v>0</v>
      </c>
      <c r="AC616" s="517">
        <f t="shared" si="199"/>
        <v>0</v>
      </c>
      <c r="AD616" s="517">
        <f t="shared" si="199"/>
        <v>0</v>
      </c>
    </row>
    <row r="617" spans="1:30" ht="31.5" x14ac:dyDescent="0.25">
      <c r="A617" s="257" t="s">
        <v>541</v>
      </c>
      <c r="B617" s="156" t="s">
        <v>245</v>
      </c>
      <c r="C617" s="444"/>
      <c r="D617" s="27">
        <f>D625+D643+D628+D637+D646+D640+D634+D631+D618+D651</f>
        <v>408829.3</v>
      </c>
      <c r="E617" s="517">
        <f t="shared" ref="E617:F617" si="200">E625+E643+E628+E637+E646+E640+E634+E631+E618+E651</f>
        <v>397076.1</v>
      </c>
      <c r="F617" s="517">
        <f t="shared" si="200"/>
        <v>434403.9</v>
      </c>
      <c r="G617" s="152"/>
    </row>
    <row r="618" spans="1:30" s="177" customFormat="1" x14ac:dyDescent="0.25">
      <c r="A618" s="257" t="s">
        <v>632</v>
      </c>
      <c r="B618" s="156" t="s">
        <v>633</v>
      </c>
      <c r="C618" s="429"/>
      <c r="D618" s="27">
        <f>D619+D622</f>
        <v>47487</v>
      </c>
      <c r="E618" s="517">
        <f t="shared" ref="E618:F618" si="201">E619+E622</f>
        <v>21472</v>
      </c>
      <c r="F618" s="517">
        <f t="shared" si="201"/>
        <v>22352</v>
      </c>
      <c r="G618" s="517" t="e">
        <f>#REF!+G619</f>
        <v>#REF!</v>
      </c>
      <c r="H618" s="517" t="e">
        <f>#REF!+H619</f>
        <v>#REF!</v>
      </c>
      <c r="I618" s="517" t="e">
        <f>#REF!+I619</f>
        <v>#REF!</v>
      </c>
      <c r="J618" s="517" t="e">
        <f>#REF!+J619</f>
        <v>#REF!</v>
      </c>
      <c r="K618" s="517" t="e">
        <f>#REF!+K619</f>
        <v>#REF!</v>
      </c>
      <c r="L618" s="517" t="e">
        <f>#REF!+L619</f>
        <v>#REF!</v>
      </c>
      <c r="M618" s="517" t="e">
        <f>#REF!+M619</f>
        <v>#REF!</v>
      </c>
      <c r="N618" s="517" t="e">
        <f>#REF!+N619</f>
        <v>#REF!</v>
      </c>
      <c r="O618" s="517" t="e">
        <f>#REF!+O619</f>
        <v>#REF!</v>
      </c>
      <c r="P618" s="517" t="e">
        <f>#REF!+P619</f>
        <v>#REF!</v>
      </c>
      <c r="Q618" s="517" t="e">
        <f>#REF!+Q619</f>
        <v>#REF!</v>
      </c>
      <c r="R618" s="517" t="e">
        <f>#REF!+R619</f>
        <v>#REF!</v>
      </c>
      <c r="S618" s="517" t="e">
        <f>#REF!+S619</f>
        <v>#REF!</v>
      </c>
      <c r="T618" s="517" t="e">
        <f>#REF!+T619</f>
        <v>#REF!</v>
      </c>
      <c r="U618" s="517" t="e">
        <f>#REF!+U619</f>
        <v>#REF!</v>
      </c>
      <c r="V618" s="517" t="e">
        <f>#REF!+V619</f>
        <v>#REF!</v>
      </c>
      <c r="W618" s="517" t="e">
        <f>#REF!+W619</f>
        <v>#REF!</v>
      </c>
      <c r="X618" s="517" t="e">
        <f>#REF!+X619</f>
        <v>#REF!</v>
      </c>
      <c r="Y618" s="517" t="e">
        <f>#REF!+Y619</f>
        <v>#REF!</v>
      </c>
      <c r="Z618" s="517" t="e">
        <f>#REF!+Z619</f>
        <v>#REF!</v>
      </c>
      <c r="AA618" s="517" t="e">
        <f>#REF!+AA619</f>
        <v>#REF!</v>
      </c>
      <c r="AB618" s="517" t="e">
        <f>#REF!+AB619</f>
        <v>#REF!</v>
      </c>
      <c r="AC618" s="517" t="e">
        <f>#REF!+AC619</f>
        <v>#REF!</v>
      </c>
      <c r="AD618" s="517" t="e">
        <f>#REF!+AD619</f>
        <v>#REF!</v>
      </c>
    </row>
    <row r="619" spans="1:30" s="519" customFormat="1" x14ac:dyDescent="0.25">
      <c r="A619" s="257" t="s">
        <v>725</v>
      </c>
      <c r="B619" s="156" t="s">
        <v>690</v>
      </c>
      <c r="C619" s="444"/>
      <c r="D619" s="517">
        <f>D620</f>
        <v>18637.3</v>
      </c>
      <c r="E619" s="517">
        <f t="shared" ref="E619:F620" si="202">E620</f>
        <v>21472</v>
      </c>
      <c r="F619" s="517">
        <f t="shared" si="202"/>
        <v>22352</v>
      </c>
      <c r="G619" s="520"/>
    </row>
    <row r="620" spans="1:30" s="519" customFormat="1" ht="31.5" x14ac:dyDescent="0.25">
      <c r="A620" s="523" t="s">
        <v>60</v>
      </c>
      <c r="B620" s="156" t="s">
        <v>690</v>
      </c>
      <c r="C620" s="444">
        <v>600</v>
      </c>
      <c r="D620" s="517">
        <f>D621</f>
        <v>18637.3</v>
      </c>
      <c r="E620" s="517">
        <f t="shared" si="202"/>
        <v>21472</v>
      </c>
      <c r="F620" s="517">
        <f t="shared" si="202"/>
        <v>22352</v>
      </c>
      <c r="G620" s="520"/>
    </row>
    <row r="621" spans="1:30" s="519" customFormat="1" x14ac:dyDescent="0.25">
      <c r="A621" s="523" t="s">
        <v>61</v>
      </c>
      <c r="B621" s="156" t="s">
        <v>690</v>
      </c>
      <c r="C621" s="444">
        <v>610</v>
      </c>
      <c r="D621" s="517">
        <f>'Функц. 2025-2027'!F809</f>
        <v>18637.3</v>
      </c>
      <c r="E621" s="140">
        <f>'Функц. 2025-2027'!H809</f>
        <v>21472</v>
      </c>
      <c r="F621" s="140">
        <f>'Функц. 2025-2027'!J809</f>
        <v>22352</v>
      </c>
      <c r="G621" s="520"/>
    </row>
    <row r="622" spans="1:30" s="519" customFormat="1" x14ac:dyDescent="0.25">
      <c r="A622" s="561" t="s">
        <v>781</v>
      </c>
      <c r="B622" s="542" t="s">
        <v>782</v>
      </c>
      <c r="C622" s="326"/>
      <c r="D622" s="517">
        <f>D623</f>
        <v>28849.7</v>
      </c>
      <c r="E622" s="517">
        <f t="shared" ref="E622:F623" si="203">E623</f>
        <v>0</v>
      </c>
      <c r="F622" s="517">
        <f t="shared" si="203"/>
        <v>0</v>
      </c>
      <c r="G622" s="520"/>
    </row>
    <row r="623" spans="1:30" s="519" customFormat="1" x14ac:dyDescent="0.25">
      <c r="A623" s="479" t="s">
        <v>120</v>
      </c>
      <c r="B623" s="542" t="s">
        <v>782</v>
      </c>
      <c r="C623" s="468" t="s">
        <v>37</v>
      </c>
      <c r="D623" s="517">
        <f>D624</f>
        <v>28849.7</v>
      </c>
      <c r="E623" s="517">
        <f t="shared" si="203"/>
        <v>0</v>
      </c>
      <c r="F623" s="517">
        <f t="shared" si="203"/>
        <v>0</v>
      </c>
      <c r="G623" s="520"/>
    </row>
    <row r="624" spans="1:30" s="519" customFormat="1" x14ac:dyDescent="0.25">
      <c r="A624" s="479" t="s">
        <v>52</v>
      </c>
      <c r="B624" s="542" t="s">
        <v>782</v>
      </c>
      <c r="C624" s="468" t="s">
        <v>65</v>
      </c>
      <c r="D624" s="517">
        <f>'Функц. 2025-2027'!F502</f>
        <v>28849.7</v>
      </c>
      <c r="E624" s="140">
        <f>'Функц. 2025-2027'!H502</f>
        <v>0</v>
      </c>
      <c r="F624" s="140">
        <f>'Функц. 2025-2027'!J502</f>
        <v>0</v>
      </c>
      <c r="G624" s="520"/>
    </row>
    <row r="625" spans="1:7" x14ac:dyDescent="0.25">
      <c r="A625" s="277" t="s">
        <v>578</v>
      </c>
      <c r="B625" s="156" t="s">
        <v>577</v>
      </c>
      <c r="C625" s="444"/>
      <c r="D625" s="27">
        <f t="shared" ref="D625:F626" si="204">D626</f>
        <v>0</v>
      </c>
      <c r="E625" s="140">
        <f t="shared" si="204"/>
        <v>20463</v>
      </c>
      <c r="F625" s="140">
        <f t="shared" si="204"/>
        <v>32860.699999999997</v>
      </c>
      <c r="G625" s="152"/>
    </row>
    <row r="626" spans="1:7" x14ac:dyDescent="0.25">
      <c r="A626" s="523" t="s">
        <v>120</v>
      </c>
      <c r="B626" s="156" t="s">
        <v>577</v>
      </c>
      <c r="C626" s="407">
        <v>200</v>
      </c>
      <c r="D626" s="27">
        <f t="shared" si="204"/>
        <v>0</v>
      </c>
      <c r="E626" s="140">
        <f t="shared" si="204"/>
        <v>20463</v>
      </c>
      <c r="F626" s="140">
        <f t="shared" si="204"/>
        <v>32860.699999999997</v>
      </c>
      <c r="G626" s="152"/>
    </row>
    <row r="627" spans="1:7" x14ac:dyDescent="0.25">
      <c r="A627" s="523" t="s">
        <v>52</v>
      </c>
      <c r="B627" s="156" t="s">
        <v>577</v>
      </c>
      <c r="C627" s="444">
        <v>240</v>
      </c>
      <c r="D627" s="27">
        <f>'Функц. 2025-2027'!F505</f>
        <v>0</v>
      </c>
      <c r="E627" s="140">
        <f>'Функц. 2025-2027'!H505</f>
        <v>20463</v>
      </c>
      <c r="F627" s="140">
        <f>'Функц. 2025-2027'!J505</f>
        <v>32860.699999999997</v>
      </c>
      <c r="G627" s="152"/>
    </row>
    <row r="628" spans="1:7" s="177" customFormat="1" x14ac:dyDescent="0.25">
      <c r="A628" s="523" t="s">
        <v>434</v>
      </c>
      <c r="B628" s="156" t="s">
        <v>402</v>
      </c>
      <c r="C628" s="444"/>
      <c r="D628" s="27">
        <f t="shared" ref="D628:F629" si="205">D629</f>
        <v>31593.3</v>
      </c>
      <c r="E628" s="140">
        <f t="shared" si="205"/>
        <v>22760.1</v>
      </c>
      <c r="F628" s="140">
        <f t="shared" si="205"/>
        <v>31269.200000000001</v>
      </c>
      <c r="G628" s="152"/>
    </row>
    <row r="629" spans="1:7" s="177" customFormat="1" x14ac:dyDescent="0.25">
      <c r="A629" s="523" t="s">
        <v>120</v>
      </c>
      <c r="B629" s="156" t="s">
        <v>402</v>
      </c>
      <c r="C629" s="407">
        <v>200</v>
      </c>
      <c r="D629" s="27">
        <f t="shared" si="205"/>
        <v>31593.3</v>
      </c>
      <c r="E629" s="140">
        <f t="shared" si="205"/>
        <v>22760.1</v>
      </c>
      <c r="F629" s="140">
        <f t="shared" si="205"/>
        <v>31269.200000000001</v>
      </c>
      <c r="G629" s="152"/>
    </row>
    <row r="630" spans="1:7" s="177" customFormat="1" x14ac:dyDescent="0.25">
      <c r="A630" s="523" t="s">
        <v>52</v>
      </c>
      <c r="B630" s="156" t="s">
        <v>402</v>
      </c>
      <c r="C630" s="444">
        <v>240</v>
      </c>
      <c r="D630" s="27">
        <f>'Функц. 2025-2027'!F508</f>
        <v>31593.3</v>
      </c>
      <c r="E630" s="140">
        <f>'Функц. 2025-2027'!H508</f>
        <v>22760.1</v>
      </c>
      <c r="F630" s="140">
        <f>'Функц. 2025-2027'!J508</f>
        <v>31269.200000000001</v>
      </c>
      <c r="G630" s="152"/>
    </row>
    <row r="631" spans="1:7" s="177" customFormat="1" ht="31.5" x14ac:dyDescent="0.25">
      <c r="A631" s="523" t="s">
        <v>630</v>
      </c>
      <c r="B631" s="156" t="s">
        <v>629</v>
      </c>
      <c r="C631" s="429"/>
      <c r="D631" s="27">
        <f t="shared" ref="D631:F632" si="206">D632</f>
        <v>15915.2</v>
      </c>
      <c r="E631" s="27">
        <f t="shared" si="206"/>
        <v>16552</v>
      </c>
      <c r="F631" s="27">
        <f t="shared" si="206"/>
        <v>17214</v>
      </c>
      <c r="G631" s="152"/>
    </row>
    <row r="632" spans="1:7" s="177" customFormat="1" x14ac:dyDescent="0.25">
      <c r="A632" s="523" t="s">
        <v>120</v>
      </c>
      <c r="B632" s="156" t="s">
        <v>629</v>
      </c>
      <c r="C632" s="407">
        <v>200</v>
      </c>
      <c r="D632" s="27">
        <f t="shared" si="206"/>
        <v>15915.2</v>
      </c>
      <c r="E632" s="27">
        <f t="shared" si="206"/>
        <v>16552</v>
      </c>
      <c r="F632" s="27">
        <f t="shared" si="206"/>
        <v>17214</v>
      </c>
      <c r="G632" s="152"/>
    </row>
    <row r="633" spans="1:7" s="177" customFormat="1" x14ac:dyDescent="0.25">
      <c r="A633" s="523" t="s">
        <v>52</v>
      </c>
      <c r="B633" s="156" t="s">
        <v>629</v>
      </c>
      <c r="C633" s="429">
        <v>240</v>
      </c>
      <c r="D633" s="27">
        <f>'Функц. 2025-2027'!F511</f>
        <v>15915.2</v>
      </c>
      <c r="E633" s="27">
        <f>'Функц. 2025-2027'!H511</f>
        <v>16552</v>
      </c>
      <c r="F633" s="27">
        <f>'Функц. 2025-2027'!J511</f>
        <v>17214</v>
      </c>
      <c r="G633" s="152"/>
    </row>
    <row r="634" spans="1:7" s="177" customFormat="1" x14ac:dyDescent="0.25">
      <c r="A634" s="523" t="s">
        <v>627</v>
      </c>
      <c r="B634" s="156" t="s">
        <v>628</v>
      </c>
      <c r="C634" s="429"/>
      <c r="D634" s="27">
        <f t="shared" ref="D634:F634" si="207">D635</f>
        <v>14147</v>
      </c>
      <c r="E634" s="27">
        <f t="shared" si="207"/>
        <v>14713</v>
      </c>
      <c r="F634" s="27">
        <f t="shared" si="207"/>
        <v>15301</v>
      </c>
      <c r="G634" s="152"/>
    </row>
    <row r="635" spans="1:7" s="177" customFormat="1" x14ac:dyDescent="0.25">
      <c r="A635" s="523" t="s">
        <v>120</v>
      </c>
      <c r="B635" s="156" t="s">
        <v>628</v>
      </c>
      <c r="C635" s="407">
        <v>200</v>
      </c>
      <c r="D635" s="27">
        <f>D636</f>
        <v>14147</v>
      </c>
      <c r="E635" s="27">
        <f>E636</f>
        <v>14713</v>
      </c>
      <c r="F635" s="27">
        <f>F636</f>
        <v>15301</v>
      </c>
      <c r="G635" s="152"/>
    </row>
    <row r="636" spans="1:7" s="177" customFormat="1" x14ac:dyDescent="0.25">
      <c r="A636" s="523" t="s">
        <v>52</v>
      </c>
      <c r="B636" s="156" t="s">
        <v>628</v>
      </c>
      <c r="C636" s="429">
        <v>240</v>
      </c>
      <c r="D636" s="27">
        <f>'Функц. 2025-2027'!F514</f>
        <v>14147</v>
      </c>
      <c r="E636" s="140">
        <f>'Функц. 2025-2027'!H514</f>
        <v>14713</v>
      </c>
      <c r="F636" s="140">
        <f>'Функц. 2025-2027'!J514</f>
        <v>15301</v>
      </c>
      <c r="G636" s="152"/>
    </row>
    <row r="637" spans="1:7" s="177" customFormat="1" x14ac:dyDescent="0.25">
      <c r="A637" s="523" t="s">
        <v>441</v>
      </c>
      <c r="B637" s="613" t="s">
        <v>708</v>
      </c>
      <c r="C637" s="525"/>
      <c r="D637" s="27">
        <f t="shared" ref="D637:F638" si="208">D638</f>
        <v>7288</v>
      </c>
      <c r="E637" s="27">
        <f t="shared" si="208"/>
        <v>7580</v>
      </c>
      <c r="F637" s="27">
        <f t="shared" si="208"/>
        <v>7883</v>
      </c>
      <c r="G637" s="152"/>
    </row>
    <row r="638" spans="1:7" s="177" customFormat="1" x14ac:dyDescent="0.25">
      <c r="A638" s="523" t="s">
        <v>120</v>
      </c>
      <c r="B638" s="613" t="s">
        <v>708</v>
      </c>
      <c r="C638" s="525" t="s">
        <v>37</v>
      </c>
      <c r="D638" s="27">
        <f t="shared" si="208"/>
        <v>7288</v>
      </c>
      <c r="E638" s="27">
        <f t="shared" si="208"/>
        <v>7580</v>
      </c>
      <c r="F638" s="27">
        <f t="shared" si="208"/>
        <v>7883</v>
      </c>
      <c r="G638" s="152"/>
    </row>
    <row r="639" spans="1:7" s="177" customFormat="1" x14ac:dyDescent="0.25">
      <c r="A639" s="523" t="s">
        <v>52</v>
      </c>
      <c r="B639" s="613" t="s">
        <v>708</v>
      </c>
      <c r="C639" s="525" t="s">
        <v>65</v>
      </c>
      <c r="D639" s="27">
        <f>'Функц. 2025-2027'!F351</f>
        <v>7288</v>
      </c>
      <c r="E639" s="140">
        <f>'Функц. 2025-2027'!H351</f>
        <v>7580</v>
      </c>
      <c r="F639" s="140">
        <f>'Функц. 2025-2027'!J351</f>
        <v>7883</v>
      </c>
      <c r="G639" s="152"/>
    </row>
    <row r="640" spans="1:7" s="519" customFormat="1" x14ac:dyDescent="0.25">
      <c r="A640" s="523" t="s">
        <v>429</v>
      </c>
      <c r="B640" s="613" t="s">
        <v>691</v>
      </c>
      <c r="C640" s="444"/>
      <c r="D640" s="27">
        <f t="shared" ref="D640:F641" si="209">D641</f>
        <v>3833</v>
      </c>
      <c r="E640" s="27">
        <f t="shared" si="209"/>
        <v>3986</v>
      </c>
      <c r="F640" s="27">
        <f t="shared" si="209"/>
        <v>4145</v>
      </c>
      <c r="G640" s="520"/>
    </row>
    <row r="641" spans="1:30" s="519" customFormat="1" x14ac:dyDescent="0.25">
      <c r="A641" s="523" t="s">
        <v>120</v>
      </c>
      <c r="B641" s="613" t="s">
        <v>691</v>
      </c>
      <c r="C641" s="407">
        <v>200</v>
      </c>
      <c r="D641" s="27">
        <f t="shared" si="209"/>
        <v>3833</v>
      </c>
      <c r="E641" s="27">
        <f t="shared" si="209"/>
        <v>3986</v>
      </c>
      <c r="F641" s="27">
        <f t="shared" si="209"/>
        <v>4145</v>
      </c>
      <c r="G641" s="520"/>
    </row>
    <row r="642" spans="1:30" s="519" customFormat="1" x14ac:dyDescent="0.25">
      <c r="A642" s="523" t="s">
        <v>52</v>
      </c>
      <c r="B642" s="613" t="s">
        <v>691</v>
      </c>
      <c r="C642" s="444">
        <v>240</v>
      </c>
      <c r="D642" s="27">
        <f>'Функц. 2025-2027'!F517</f>
        <v>3833</v>
      </c>
      <c r="E642" s="140">
        <f>'Функц. 2025-2027'!H517</f>
        <v>3986</v>
      </c>
      <c r="F642" s="140">
        <f>'Функц. 2025-2027'!J517</f>
        <v>4145</v>
      </c>
      <c r="G642" s="520"/>
    </row>
    <row r="643" spans="1:30" s="519" customFormat="1" ht="31.5" x14ac:dyDescent="0.25">
      <c r="A643" s="277" t="s">
        <v>584</v>
      </c>
      <c r="B643" s="156" t="s">
        <v>420</v>
      </c>
      <c r="C643" s="444"/>
      <c r="D643" s="27">
        <f t="shared" ref="D643:F644" si="210">D644</f>
        <v>286360.7</v>
      </c>
      <c r="E643" s="140">
        <f t="shared" si="210"/>
        <v>287936</v>
      </c>
      <c r="F643" s="140">
        <f t="shared" si="210"/>
        <v>301763</v>
      </c>
      <c r="G643" s="520"/>
    </row>
    <row r="644" spans="1:30" s="519" customFormat="1" ht="31.5" x14ac:dyDescent="0.25">
      <c r="A644" s="273" t="s">
        <v>60</v>
      </c>
      <c r="B644" s="156" t="s">
        <v>420</v>
      </c>
      <c r="C644" s="407">
        <v>600</v>
      </c>
      <c r="D644" s="27">
        <f t="shared" si="210"/>
        <v>286360.7</v>
      </c>
      <c r="E644" s="140">
        <f t="shared" si="210"/>
        <v>287936</v>
      </c>
      <c r="F644" s="140">
        <f t="shared" si="210"/>
        <v>301763</v>
      </c>
      <c r="G644" s="520"/>
    </row>
    <row r="645" spans="1:30" s="519" customFormat="1" x14ac:dyDescent="0.25">
      <c r="A645" s="273" t="s">
        <v>61</v>
      </c>
      <c r="B645" s="156" t="s">
        <v>420</v>
      </c>
      <c r="C645" s="444">
        <v>610</v>
      </c>
      <c r="D645" s="27">
        <f>'Функц. 2025-2027'!F520</f>
        <v>286360.7</v>
      </c>
      <c r="E645" s="140">
        <f>'Функц. 2025-2027'!H520</f>
        <v>287936</v>
      </c>
      <c r="F645" s="140">
        <f>'Функц. 2025-2027'!J520</f>
        <v>301763</v>
      </c>
      <c r="G645" s="520"/>
    </row>
    <row r="646" spans="1:30" s="519" customFormat="1" ht="31.5" x14ac:dyDescent="0.25">
      <c r="A646" s="273" t="s">
        <v>328</v>
      </c>
      <c r="B646" s="156" t="s">
        <v>543</v>
      </c>
      <c r="C646" s="444"/>
      <c r="D646" s="27">
        <f>D647+D649</f>
        <v>1612</v>
      </c>
      <c r="E646" s="27">
        <f>E647+E649</f>
        <v>1614</v>
      </c>
      <c r="F646" s="27">
        <f>F647+F649</f>
        <v>1616</v>
      </c>
      <c r="G646" s="520"/>
    </row>
    <row r="647" spans="1:30" s="519" customFormat="1" ht="47.25" x14ac:dyDescent="0.25">
      <c r="A647" s="273" t="s">
        <v>41</v>
      </c>
      <c r="B647" s="156" t="s">
        <v>543</v>
      </c>
      <c r="C647" s="444">
        <v>100</v>
      </c>
      <c r="D647" s="27">
        <f>D648</f>
        <v>1541</v>
      </c>
      <c r="E647" s="27">
        <f>E648</f>
        <v>1541</v>
      </c>
      <c r="F647" s="27">
        <f>F648</f>
        <v>1541</v>
      </c>
      <c r="G647" s="520"/>
    </row>
    <row r="648" spans="1:30" s="519" customFormat="1" x14ac:dyDescent="0.25">
      <c r="A648" s="273" t="s">
        <v>96</v>
      </c>
      <c r="B648" s="156" t="s">
        <v>543</v>
      </c>
      <c r="C648" s="444">
        <v>120</v>
      </c>
      <c r="D648" s="27">
        <f>'Функц. 2025-2027'!F537</f>
        <v>1541</v>
      </c>
      <c r="E648" s="140">
        <f>'Функц. 2025-2027'!H537</f>
        <v>1541</v>
      </c>
      <c r="F648" s="140">
        <f>'Функц. 2025-2027'!K537</f>
        <v>1541</v>
      </c>
      <c r="G648" s="520"/>
    </row>
    <row r="649" spans="1:30" s="519" customFormat="1" x14ac:dyDescent="0.25">
      <c r="A649" s="273" t="s">
        <v>120</v>
      </c>
      <c r="B649" s="156" t="s">
        <v>543</v>
      </c>
      <c r="C649" s="444">
        <v>200</v>
      </c>
      <c r="D649" s="27">
        <f>D650</f>
        <v>71</v>
      </c>
      <c r="E649" s="27">
        <f>E650</f>
        <v>73</v>
      </c>
      <c r="F649" s="27">
        <f>F650</f>
        <v>75</v>
      </c>
      <c r="G649" s="520"/>
    </row>
    <row r="650" spans="1:30" s="519" customFormat="1" x14ac:dyDescent="0.25">
      <c r="A650" s="273" t="s">
        <v>52</v>
      </c>
      <c r="B650" s="156" t="s">
        <v>543</v>
      </c>
      <c r="C650" s="444">
        <v>240</v>
      </c>
      <c r="D650" s="27">
        <f>'Функц. 2025-2027'!F539</f>
        <v>71</v>
      </c>
      <c r="E650" s="140">
        <f>'Функц. 2025-2027'!H539</f>
        <v>73</v>
      </c>
      <c r="F650" s="140">
        <f>'Функц. 2025-2027'!K539</f>
        <v>75</v>
      </c>
      <c r="G650" s="520"/>
    </row>
    <row r="651" spans="1:30" s="501" customFormat="1" x14ac:dyDescent="0.25">
      <c r="A651" s="451" t="s">
        <v>642</v>
      </c>
      <c r="B651" s="613" t="s">
        <v>643</v>
      </c>
      <c r="C651" s="468"/>
      <c r="D651" s="490">
        <f>D652</f>
        <v>593.1</v>
      </c>
      <c r="E651" s="490">
        <f t="shared" ref="E651:F652" si="211">E652</f>
        <v>0</v>
      </c>
      <c r="F651" s="490">
        <f t="shared" si="211"/>
        <v>0</v>
      </c>
      <c r="G651" s="503"/>
    </row>
    <row r="652" spans="1:30" s="501" customFormat="1" x14ac:dyDescent="0.25">
      <c r="A652" s="451" t="s">
        <v>120</v>
      </c>
      <c r="B652" s="613" t="s">
        <v>643</v>
      </c>
      <c r="C652" s="468" t="s">
        <v>37</v>
      </c>
      <c r="D652" s="490">
        <f>D653</f>
        <v>593.1</v>
      </c>
      <c r="E652" s="490">
        <f t="shared" si="211"/>
        <v>0</v>
      </c>
      <c r="F652" s="490">
        <f t="shared" si="211"/>
        <v>0</v>
      </c>
      <c r="G652" s="490">
        <f t="shared" ref="G652:AD652" si="212">G653</f>
        <v>0</v>
      </c>
      <c r="H652" s="490">
        <f t="shared" si="212"/>
        <v>0</v>
      </c>
      <c r="I652" s="490">
        <f t="shared" si="212"/>
        <v>0</v>
      </c>
      <c r="J652" s="490">
        <f t="shared" si="212"/>
        <v>0</v>
      </c>
      <c r="K652" s="490">
        <f t="shared" si="212"/>
        <v>0</v>
      </c>
      <c r="L652" s="490">
        <f t="shared" si="212"/>
        <v>0</v>
      </c>
      <c r="M652" s="490">
        <f t="shared" si="212"/>
        <v>0</v>
      </c>
      <c r="N652" s="490">
        <f t="shared" si="212"/>
        <v>0</v>
      </c>
      <c r="O652" s="490">
        <f t="shared" si="212"/>
        <v>0</v>
      </c>
      <c r="P652" s="490">
        <f t="shared" si="212"/>
        <v>0</v>
      </c>
      <c r="Q652" s="490">
        <f t="shared" si="212"/>
        <v>0</v>
      </c>
      <c r="R652" s="490">
        <f t="shared" si="212"/>
        <v>0</v>
      </c>
      <c r="S652" s="490">
        <f t="shared" si="212"/>
        <v>0</v>
      </c>
      <c r="T652" s="490">
        <f t="shared" si="212"/>
        <v>0</v>
      </c>
      <c r="U652" s="490">
        <f t="shared" si="212"/>
        <v>0</v>
      </c>
      <c r="V652" s="490">
        <f t="shared" si="212"/>
        <v>0</v>
      </c>
      <c r="W652" s="490">
        <f t="shared" si="212"/>
        <v>0</v>
      </c>
      <c r="X652" s="490">
        <f t="shared" si="212"/>
        <v>0</v>
      </c>
      <c r="Y652" s="490">
        <f t="shared" si="212"/>
        <v>0</v>
      </c>
      <c r="Z652" s="490">
        <f t="shared" si="212"/>
        <v>0</v>
      </c>
      <c r="AA652" s="490">
        <f t="shared" si="212"/>
        <v>0</v>
      </c>
      <c r="AB652" s="490">
        <f t="shared" si="212"/>
        <v>0</v>
      </c>
      <c r="AC652" s="490">
        <f t="shared" si="212"/>
        <v>0</v>
      </c>
      <c r="AD652" s="490">
        <f t="shared" si="212"/>
        <v>0</v>
      </c>
    </row>
    <row r="653" spans="1:30" s="501" customFormat="1" x14ac:dyDescent="0.25">
      <c r="A653" s="451" t="s">
        <v>52</v>
      </c>
      <c r="B653" s="613" t="s">
        <v>643</v>
      </c>
      <c r="C653" s="468" t="s">
        <v>65</v>
      </c>
      <c r="D653" s="490">
        <f>'Функц. 2025-2027'!F444</f>
        <v>593.1</v>
      </c>
      <c r="E653" s="140">
        <f>'Функц. 2025-2027'!H444</f>
        <v>0</v>
      </c>
      <c r="F653" s="140">
        <f>'Функц. 2025-2027'!J444</f>
        <v>0</v>
      </c>
      <c r="G653" s="503"/>
    </row>
    <row r="654" spans="1:30" s="177" customFormat="1" ht="31.5" x14ac:dyDescent="0.25">
      <c r="A654" s="257" t="s">
        <v>321</v>
      </c>
      <c r="B654" s="156" t="s">
        <v>542</v>
      </c>
      <c r="C654" s="407"/>
      <c r="D654" s="27">
        <f t="shared" ref="D654:F656" si="213">D655</f>
        <v>4464</v>
      </c>
      <c r="E654" s="27">
        <f t="shared" si="213"/>
        <v>0</v>
      </c>
      <c r="F654" s="27">
        <f t="shared" si="213"/>
        <v>0</v>
      </c>
      <c r="G654" s="152"/>
    </row>
    <row r="655" spans="1:30" s="177" customFormat="1" x14ac:dyDescent="0.25">
      <c r="A655" s="257" t="s">
        <v>607</v>
      </c>
      <c r="B655" s="613" t="s">
        <v>682</v>
      </c>
      <c r="C655" s="525"/>
      <c r="D655" s="27">
        <f t="shared" si="213"/>
        <v>4464</v>
      </c>
      <c r="E655" s="27">
        <f t="shared" si="213"/>
        <v>0</v>
      </c>
      <c r="F655" s="27">
        <f t="shared" si="213"/>
        <v>0</v>
      </c>
      <c r="G655" s="152"/>
    </row>
    <row r="656" spans="1:30" s="177" customFormat="1" x14ac:dyDescent="0.25">
      <c r="A656" s="523" t="s">
        <v>42</v>
      </c>
      <c r="B656" s="613" t="s">
        <v>682</v>
      </c>
      <c r="C656" s="525" t="s">
        <v>347</v>
      </c>
      <c r="D656" s="27">
        <f t="shared" si="213"/>
        <v>4464</v>
      </c>
      <c r="E656" s="27">
        <f t="shared" si="213"/>
        <v>0</v>
      </c>
      <c r="F656" s="27">
        <f t="shared" si="213"/>
        <v>0</v>
      </c>
      <c r="G656" s="152"/>
    </row>
    <row r="657" spans="1:7" s="177" customFormat="1" ht="31.5" x14ac:dyDescent="0.25">
      <c r="A657" s="523" t="s">
        <v>121</v>
      </c>
      <c r="B657" s="613" t="s">
        <v>682</v>
      </c>
      <c r="C657" s="525" t="s">
        <v>348</v>
      </c>
      <c r="D657" s="27">
        <f>'Функц. 2025-2027'!F390</f>
        <v>4464</v>
      </c>
      <c r="E657" s="140">
        <f>'Функц. 2025-2027'!H390</f>
        <v>0</v>
      </c>
      <c r="F657" s="140">
        <f>'Функц. 2025-2027'!J390</f>
        <v>0</v>
      </c>
      <c r="G657" s="152"/>
    </row>
    <row r="658" spans="1:7" s="519" customFormat="1" x14ac:dyDescent="0.25">
      <c r="A658" s="466" t="s">
        <v>650</v>
      </c>
      <c r="B658" s="555" t="s">
        <v>825</v>
      </c>
      <c r="C658" s="525"/>
      <c r="D658" s="517">
        <f>D659</f>
        <v>38579.1</v>
      </c>
      <c r="E658" s="517">
        <f t="shared" ref="E658:F658" si="214">E659</f>
        <v>40122.300000000003</v>
      </c>
      <c r="F658" s="517">
        <f t="shared" si="214"/>
        <v>41727.300000000003</v>
      </c>
      <c r="G658" s="520"/>
    </row>
    <row r="659" spans="1:7" s="519" customFormat="1" x14ac:dyDescent="0.25">
      <c r="A659" s="466" t="s">
        <v>396</v>
      </c>
      <c r="B659" s="555" t="s">
        <v>794</v>
      </c>
      <c r="C659" s="525"/>
      <c r="D659" s="517">
        <f>D660</f>
        <v>38579.1</v>
      </c>
      <c r="E659" s="517">
        <f t="shared" ref="E659:F660" si="215">E660</f>
        <v>40122.300000000003</v>
      </c>
      <c r="F659" s="517">
        <f t="shared" si="215"/>
        <v>41727.300000000003</v>
      </c>
      <c r="G659" s="520"/>
    </row>
    <row r="660" spans="1:7" s="519" customFormat="1" x14ac:dyDescent="0.25">
      <c r="A660" s="451" t="s">
        <v>120</v>
      </c>
      <c r="B660" s="555" t="s">
        <v>794</v>
      </c>
      <c r="C660" s="525" t="s">
        <v>37</v>
      </c>
      <c r="D660" s="517">
        <f>D661</f>
        <v>38579.1</v>
      </c>
      <c r="E660" s="517">
        <f t="shared" si="215"/>
        <v>40122.300000000003</v>
      </c>
      <c r="F660" s="517">
        <f t="shared" si="215"/>
        <v>41727.300000000003</v>
      </c>
      <c r="G660" s="520"/>
    </row>
    <row r="661" spans="1:7" s="519" customFormat="1" x14ac:dyDescent="0.25">
      <c r="A661" s="451" t="s">
        <v>52</v>
      </c>
      <c r="B661" s="555" t="s">
        <v>794</v>
      </c>
      <c r="C661" s="525" t="s">
        <v>65</v>
      </c>
      <c r="D661" s="517">
        <f>'Функц. 2025-2027'!F524</f>
        <v>38579.1</v>
      </c>
      <c r="E661" s="140">
        <f>'Функц. 2025-2027'!H524</f>
        <v>40122.300000000003</v>
      </c>
      <c r="F661" s="140">
        <f>'Функц. 2025-2027'!J524</f>
        <v>41727.300000000003</v>
      </c>
      <c r="G661" s="520"/>
    </row>
    <row r="662" spans="1:7" x14ac:dyDescent="0.25">
      <c r="A662" s="275" t="s">
        <v>189</v>
      </c>
      <c r="B662" s="156" t="s">
        <v>320</v>
      </c>
      <c r="C662" s="444"/>
      <c r="D662" s="27">
        <f t="shared" ref="D662:F663" si="216">D663</f>
        <v>29216.400000000001</v>
      </c>
      <c r="E662" s="27">
        <f t="shared" si="216"/>
        <v>28507.899999999998</v>
      </c>
      <c r="F662" s="27">
        <f t="shared" si="216"/>
        <v>28507.899999999998</v>
      </c>
      <c r="G662" s="152"/>
    </row>
    <row r="663" spans="1:7" ht="31.5" x14ac:dyDescent="0.25">
      <c r="A663" s="275" t="s">
        <v>191</v>
      </c>
      <c r="B663" s="156" t="s">
        <v>322</v>
      </c>
      <c r="C663" s="444"/>
      <c r="D663" s="27">
        <f t="shared" si="216"/>
        <v>29216.400000000001</v>
      </c>
      <c r="E663" s="27">
        <f t="shared" si="216"/>
        <v>28507.899999999998</v>
      </c>
      <c r="F663" s="27">
        <f t="shared" si="216"/>
        <v>28507.899999999998</v>
      </c>
      <c r="G663" s="152"/>
    </row>
    <row r="664" spans="1:7" x14ac:dyDescent="0.25">
      <c r="A664" s="277" t="s">
        <v>205</v>
      </c>
      <c r="B664" s="156" t="s">
        <v>544</v>
      </c>
      <c r="C664" s="444"/>
      <c r="D664" s="27">
        <f>D665+D670+D673</f>
        <v>29216.400000000001</v>
      </c>
      <c r="E664" s="140">
        <f>E665+E670+E673</f>
        <v>28507.899999999998</v>
      </c>
      <c r="F664" s="140">
        <f>F665+F670+F673</f>
        <v>28507.899999999998</v>
      </c>
      <c r="G664" s="152"/>
    </row>
    <row r="665" spans="1:7" ht="31.5" x14ac:dyDescent="0.25">
      <c r="A665" s="273" t="s">
        <v>206</v>
      </c>
      <c r="B665" s="156" t="s">
        <v>545</v>
      </c>
      <c r="C665" s="596"/>
      <c r="D665" s="27">
        <f>D666+D668</f>
        <v>2285.8999999999996</v>
      </c>
      <c r="E665" s="517">
        <f t="shared" ref="E665:F665" si="217">E666+E668</f>
        <v>2325.6</v>
      </c>
      <c r="F665" s="517">
        <f t="shared" si="217"/>
        <v>2325.6</v>
      </c>
      <c r="G665" s="152"/>
    </row>
    <row r="666" spans="1:7" x14ac:dyDescent="0.25">
      <c r="A666" s="273" t="s">
        <v>120</v>
      </c>
      <c r="B666" s="156" t="s">
        <v>545</v>
      </c>
      <c r="C666" s="444">
        <v>200</v>
      </c>
      <c r="D666" s="27">
        <f>D667</f>
        <v>2285.7999999999997</v>
      </c>
      <c r="E666" s="140">
        <f>E667</f>
        <v>2325.6</v>
      </c>
      <c r="F666" s="140">
        <f>F667</f>
        <v>2325.6</v>
      </c>
      <c r="G666" s="152"/>
    </row>
    <row r="667" spans="1:7" x14ac:dyDescent="0.25">
      <c r="A667" s="273" t="s">
        <v>52</v>
      </c>
      <c r="B667" s="156" t="s">
        <v>545</v>
      </c>
      <c r="C667" s="444">
        <v>240</v>
      </c>
      <c r="D667" s="27">
        <f>'Функц. 2025-2027'!F545</f>
        <v>2285.7999999999997</v>
      </c>
      <c r="E667" s="140">
        <f>'Функц. 2025-2027'!H545</f>
        <v>2325.6</v>
      </c>
      <c r="F667" s="140">
        <f>'Функц. 2025-2027'!J545</f>
        <v>2325.6</v>
      </c>
      <c r="G667" s="152"/>
    </row>
    <row r="668" spans="1:7" s="519" customFormat="1" x14ac:dyDescent="0.25">
      <c r="A668" s="451" t="s">
        <v>42</v>
      </c>
      <c r="B668" s="156" t="s">
        <v>545</v>
      </c>
      <c r="C668" s="444">
        <v>800</v>
      </c>
      <c r="D668" s="517">
        <f>D669</f>
        <v>0.1</v>
      </c>
      <c r="E668" s="517">
        <f t="shared" ref="E668:F668" si="218">E669</f>
        <v>0</v>
      </c>
      <c r="F668" s="517">
        <f t="shared" si="218"/>
        <v>0</v>
      </c>
      <c r="G668" s="520"/>
    </row>
    <row r="669" spans="1:7" s="519" customFormat="1" x14ac:dyDescent="0.25">
      <c r="A669" s="451" t="s">
        <v>57</v>
      </c>
      <c r="B669" s="156" t="s">
        <v>545</v>
      </c>
      <c r="C669" s="444">
        <v>850</v>
      </c>
      <c r="D669" s="517">
        <f>'Функц. 2025-2027'!F547</f>
        <v>0.1</v>
      </c>
      <c r="E669" s="140">
        <f>'Функц. 2025-2027'!H547</f>
        <v>0</v>
      </c>
      <c r="F669" s="140">
        <f>'Функц. 2025-2027'!J547</f>
        <v>0</v>
      </c>
      <c r="G669" s="520"/>
    </row>
    <row r="670" spans="1:7" ht="31.5" x14ac:dyDescent="0.25">
      <c r="A670" s="273" t="s">
        <v>207</v>
      </c>
      <c r="B670" s="156" t="s">
        <v>546</v>
      </c>
      <c r="C670" s="596"/>
      <c r="D670" s="27">
        <f t="shared" ref="D670:F671" si="219">D671</f>
        <v>17192.5</v>
      </c>
      <c r="E670" s="140">
        <f t="shared" si="219"/>
        <v>16444.3</v>
      </c>
      <c r="F670" s="140">
        <f t="shared" si="219"/>
        <v>16444.3</v>
      </c>
      <c r="G670" s="152"/>
    </row>
    <row r="671" spans="1:7" ht="47.25" x14ac:dyDescent="0.25">
      <c r="A671" s="273" t="s">
        <v>41</v>
      </c>
      <c r="B671" s="156" t="s">
        <v>546</v>
      </c>
      <c r="C671" s="444">
        <v>100</v>
      </c>
      <c r="D671" s="27">
        <f t="shared" si="219"/>
        <v>17192.5</v>
      </c>
      <c r="E671" s="140">
        <f t="shared" si="219"/>
        <v>16444.3</v>
      </c>
      <c r="F671" s="140">
        <f t="shared" si="219"/>
        <v>16444.3</v>
      </c>
      <c r="G671" s="152"/>
    </row>
    <row r="672" spans="1:7" x14ac:dyDescent="0.25">
      <c r="A672" s="273" t="s">
        <v>96</v>
      </c>
      <c r="B672" s="156" t="s">
        <v>546</v>
      </c>
      <c r="C672" s="444">
        <v>120</v>
      </c>
      <c r="D672" s="27">
        <f>'Функц. 2025-2027'!F550</f>
        <v>17192.5</v>
      </c>
      <c r="E672" s="140">
        <f>'Функц. 2025-2027'!H550</f>
        <v>16444.3</v>
      </c>
      <c r="F672" s="140">
        <f>'Функц. 2025-2027'!J550</f>
        <v>16444.3</v>
      </c>
      <c r="G672" s="152"/>
    </row>
    <row r="673" spans="1:7" ht="31.5" x14ac:dyDescent="0.25">
      <c r="A673" s="273" t="s">
        <v>208</v>
      </c>
      <c r="B673" s="156" t="s">
        <v>547</v>
      </c>
      <c r="C673" s="596"/>
      <c r="D673" s="27">
        <f t="shared" ref="D673:F674" si="220">D674</f>
        <v>9738</v>
      </c>
      <c r="E673" s="140">
        <f t="shared" si="220"/>
        <v>9738</v>
      </c>
      <c r="F673" s="140">
        <f t="shared" si="220"/>
        <v>9738</v>
      </c>
      <c r="G673" s="152"/>
    </row>
    <row r="674" spans="1:7" ht="47.25" x14ac:dyDescent="0.25">
      <c r="A674" s="273" t="s">
        <v>41</v>
      </c>
      <c r="B674" s="156" t="s">
        <v>547</v>
      </c>
      <c r="C674" s="444">
        <v>100</v>
      </c>
      <c r="D674" s="27">
        <f t="shared" si="220"/>
        <v>9738</v>
      </c>
      <c r="E674" s="140">
        <f t="shared" si="220"/>
        <v>9738</v>
      </c>
      <c r="F674" s="140">
        <f t="shared" si="220"/>
        <v>9738</v>
      </c>
      <c r="G674" s="152"/>
    </row>
    <row r="675" spans="1:7" x14ac:dyDescent="0.25">
      <c r="A675" s="273" t="s">
        <v>96</v>
      </c>
      <c r="B675" s="156" t="s">
        <v>547</v>
      </c>
      <c r="C675" s="444">
        <v>120</v>
      </c>
      <c r="D675" s="27">
        <f>'Функц. 2025-2027'!F553</f>
        <v>9738</v>
      </c>
      <c r="E675" s="140">
        <f>'Функц. 2025-2027'!H553</f>
        <v>9738</v>
      </c>
      <c r="F675" s="140">
        <f>'Функц. 2025-2027'!J553</f>
        <v>9738</v>
      </c>
      <c r="G675" s="152"/>
    </row>
    <row r="676" spans="1:7" s="177" customFormat="1" x14ac:dyDescent="0.25">
      <c r="A676" s="397" t="s">
        <v>641</v>
      </c>
      <c r="B676" s="615" t="s">
        <v>631</v>
      </c>
      <c r="C676" s="532"/>
      <c r="D676" s="518">
        <f>D677</f>
        <v>790</v>
      </c>
      <c r="E676" s="518">
        <f t="shared" ref="E676:F680" si="221">E677</f>
        <v>0</v>
      </c>
      <c r="F676" s="518">
        <f t="shared" si="221"/>
        <v>0</v>
      </c>
      <c r="G676" s="152"/>
    </row>
    <row r="677" spans="1:7" s="177" customFormat="1" ht="36" customHeight="1" x14ac:dyDescent="0.25">
      <c r="A677" s="273" t="s">
        <v>730</v>
      </c>
      <c r="B677" s="156" t="s">
        <v>731</v>
      </c>
      <c r="C677" s="430"/>
      <c r="D677" s="27">
        <f>D678</f>
        <v>790</v>
      </c>
      <c r="E677" s="27">
        <f t="shared" si="221"/>
        <v>0</v>
      </c>
      <c r="F677" s="27">
        <f t="shared" si="221"/>
        <v>0</v>
      </c>
      <c r="G677" s="152"/>
    </row>
    <row r="678" spans="1:7" s="177" customFormat="1" x14ac:dyDescent="0.25">
      <c r="A678" s="275" t="s">
        <v>732</v>
      </c>
      <c r="B678" s="156" t="s">
        <v>733</v>
      </c>
      <c r="C678" s="430"/>
      <c r="D678" s="27">
        <f>D679</f>
        <v>790</v>
      </c>
      <c r="E678" s="27">
        <f t="shared" si="221"/>
        <v>0</v>
      </c>
      <c r="F678" s="27">
        <f t="shared" si="221"/>
        <v>0</v>
      </c>
      <c r="G678" s="152"/>
    </row>
    <row r="679" spans="1:7" s="177" customFormat="1" ht="34.5" customHeight="1" x14ac:dyDescent="0.25">
      <c r="A679" s="275" t="s">
        <v>734</v>
      </c>
      <c r="B679" s="156" t="s">
        <v>735</v>
      </c>
      <c r="C679" s="430"/>
      <c r="D679" s="27">
        <f>D680</f>
        <v>790</v>
      </c>
      <c r="E679" s="27">
        <f t="shared" si="221"/>
        <v>0</v>
      </c>
      <c r="F679" s="27">
        <f t="shared" si="221"/>
        <v>0</v>
      </c>
      <c r="G679" s="152"/>
    </row>
    <row r="680" spans="1:7" s="177" customFormat="1" x14ac:dyDescent="0.25">
      <c r="A680" s="273" t="s">
        <v>120</v>
      </c>
      <c r="B680" s="156" t="s">
        <v>735</v>
      </c>
      <c r="C680" s="430" t="s">
        <v>37</v>
      </c>
      <c r="D680" s="27">
        <f>D681</f>
        <v>790</v>
      </c>
      <c r="E680" s="27">
        <f t="shared" si="221"/>
        <v>0</v>
      </c>
      <c r="F680" s="27">
        <f t="shared" si="221"/>
        <v>0</v>
      </c>
      <c r="G680" s="152"/>
    </row>
    <row r="681" spans="1:7" s="177" customFormat="1" x14ac:dyDescent="0.25">
      <c r="A681" s="273" t="s">
        <v>52</v>
      </c>
      <c r="B681" s="156" t="s">
        <v>735</v>
      </c>
      <c r="C681" s="430" t="s">
        <v>65</v>
      </c>
      <c r="D681" s="27">
        <f>'Функц. 2025-2027'!F396</f>
        <v>790</v>
      </c>
      <c r="E681" s="140">
        <f>'Функц. 2025-2027'!H396</f>
        <v>0</v>
      </c>
      <c r="F681" s="140">
        <f>'Функц. 2025-2027'!J396</f>
        <v>0</v>
      </c>
      <c r="G681" s="152"/>
    </row>
    <row r="682" spans="1:7" s="173" customFormat="1" x14ac:dyDescent="0.25">
      <c r="A682" s="401" t="s">
        <v>349</v>
      </c>
      <c r="B682" s="156"/>
      <c r="C682" s="606"/>
      <c r="D682" s="30">
        <f>D589+D583+D560+D538+D503+D394+D351+D332+D258+D244+D226+D187+D79+D19+D676+D252+D13</f>
        <v>5356173.5999999996</v>
      </c>
      <c r="E682" s="518">
        <f>E589+E583+E560+E538+E503+E394+E351+E332+E258+E244+E226+E187+E79+E19+E676+E252+E13</f>
        <v>3255422.8999999994</v>
      </c>
      <c r="F682" s="518">
        <f>F589+F583+F560+F538+F503+F394+F351+F332+F258+F244+F226+F187+F79+F19+F676+F252+F13</f>
        <v>3158981.1999999997</v>
      </c>
      <c r="G682" s="152"/>
    </row>
    <row r="683" spans="1:7" s="172" customFormat="1" ht="31.5" x14ac:dyDescent="0.25">
      <c r="A683" s="395" t="s">
        <v>274</v>
      </c>
      <c r="B683" s="615" t="s">
        <v>99</v>
      </c>
      <c r="C683" s="601"/>
      <c r="D683" s="30">
        <f>D684+D687+D690+G693+D700</f>
        <v>30226.7</v>
      </c>
      <c r="E683" s="30">
        <f>E684+E687+E690+H693+E700</f>
        <v>27504.300000000003</v>
      </c>
      <c r="F683" s="30">
        <f>F684+F687+F690+I693+F700</f>
        <v>27504.300000000003</v>
      </c>
      <c r="G683" s="152"/>
    </row>
    <row r="684" spans="1:7" x14ac:dyDescent="0.25">
      <c r="A684" s="402" t="s">
        <v>281</v>
      </c>
      <c r="B684" s="156" t="s">
        <v>284</v>
      </c>
      <c r="C684" s="444"/>
      <c r="D684" s="27">
        <f t="shared" ref="D684:F685" si="222">D685</f>
        <v>3495</v>
      </c>
      <c r="E684" s="27">
        <f t="shared" si="222"/>
        <v>2936</v>
      </c>
      <c r="F684" s="27">
        <f t="shared" si="222"/>
        <v>2936</v>
      </c>
      <c r="G684" s="152"/>
    </row>
    <row r="685" spans="1:7" ht="47.25" x14ac:dyDescent="0.25">
      <c r="A685" s="273" t="s">
        <v>41</v>
      </c>
      <c r="B685" s="156" t="s">
        <v>284</v>
      </c>
      <c r="C685" s="407">
        <v>100</v>
      </c>
      <c r="D685" s="27">
        <f t="shared" si="222"/>
        <v>3495</v>
      </c>
      <c r="E685" s="27">
        <f t="shared" si="222"/>
        <v>2936</v>
      </c>
      <c r="F685" s="27">
        <f t="shared" si="222"/>
        <v>2936</v>
      </c>
      <c r="G685" s="152"/>
    </row>
    <row r="686" spans="1:7" x14ac:dyDescent="0.25">
      <c r="A686" s="273" t="s">
        <v>96</v>
      </c>
      <c r="B686" s="156" t="s">
        <v>284</v>
      </c>
      <c r="C686" s="444">
        <v>120</v>
      </c>
      <c r="D686" s="27">
        <f>'Функц. 2025-2027'!F33</f>
        <v>3495</v>
      </c>
      <c r="E686" s="27">
        <f>'Функц. 2025-2027'!H33</f>
        <v>2936</v>
      </c>
      <c r="F686" s="27">
        <f>'Функц. 2025-2027'!J33</f>
        <v>2936</v>
      </c>
      <c r="G686" s="152"/>
    </row>
    <row r="687" spans="1:7" x14ac:dyDescent="0.25">
      <c r="A687" s="273" t="s">
        <v>329</v>
      </c>
      <c r="B687" s="156" t="s">
        <v>285</v>
      </c>
      <c r="C687" s="444"/>
      <c r="D687" s="27">
        <f t="shared" ref="D687:F688" si="223">D688</f>
        <v>2501</v>
      </c>
      <c r="E687" s="27">
        <f t="shared" si="223"/>
        <v>2279.5</v>
      </c>
      <c r="F687" s="27">
        <f t="shared" si="223"/>
        <v>2279.5</v>
      </c>
      <c r="G687" s="152"/>
    </row>
    <row r="688" spans="1:7" ht="47.25" x14ac:dyDescent="0.25">
      <c r="A688" s="273" t="s">
        <v>41</v>
      </c>
      <c r="B688" s="156" t="s">
        <v>285</v>
      </c>
      <c r="C688" s="407">
        <v>100</v>
      </c>
      <c r="D688" s="27">
        <f t="shared" si="223"/>
        <v>2501</v>
      </c>
      <c r="E688" s="27">
        <f t="shared" si="223"/>
        <v>2279.5</v>
      </c>
      <c r="F688" s="27">
        <f t="shared" si="223"/>
        <v>2279.5</v>
      </c>
      <c r="G688" s="152"/>
    </row>
    <row r="689" spans="1:7" x14ac:dyDescent="0.25">
      <c r="A689" s="273" t="s">
        <v>96</v>
      </c>
      <c r="B689" s="156" t="s">
        <v>285</v>
      </c>
      <c r="C689" s="444">
        <v>120</v>
      </c>
      <c r="D689" s="27">
        <f>'Функц. 2025-2027'!F36</f>
        <v>2501</v>
      </c>
      <c r="E689" s="27">
        <f>'Функц. 2025-2027'!H36</f>
        <v>2279.5</v>
      </c>
      <c r="F689" s="27">
        <f>'Функц. 2025-2027'!J36</f>
        <v>2279.5</v>
      </c>
      <c r="G689" s="152"/>
    </row>
    <row r="690" spans="1:7" x14ac:dyDescent="0.25">
      <c r="A690" s="276" t="s">
        <v>282</v>
      </c>
      <c r="B690" s="156" t="s">
        <v>283</v>
      </c>
      <c r="C690" s="444"/>
      <c r="D690" s="27">
        <f>D691+D694+D697</f>
        <v>13054.3</v>
      </c>
      <c r="E690" s="27">
        <f>E691+E694+E697</f>
        <v>11525.4</v>
      </c>
      <c r="F690" s="27">
        <f>F691+F694+F697</f>
        <v>11525.4</v>
      </c>
      <c r="G690" s="152"/>
    </row>
    <row r="691" spans="1:7" ht="31.5" x14ac:dyDescent="0.25">
      <c r="A691" s="273" t="s">
        <v>286</v>
      </c>
      <c r="B691" s="156" t="s">
        <v>287</v>
      </c>
      <c r="C691" s="444"/>
      <c r="D691" s="27">
        <f t="shared" ref="D691:F692" si="224">D692</f>
        <v>2929.9</v>
      </c>
      <c r="E691" s="27">
        <f t="shared" si="224"/>
        <v>1849.9</v>
      </c>
      <c r="F691" s="27">
        <f t="shared" si="224"/>
        <v>1849.9</v>
      </c>
      <c r="G691" s="152"/>
    </row>
    <row r="692" spans="1:7" x14ac:dyDescent="0.25">
      <c r="A692" s="273" t="s">
        <v>120</v>
      </c>
      <c r="B692" s="156" t="s">
        <v>287</v>
      </c>
      <c r="C692" s="444">
        <v>200</v>
      </c>
      <c r="D692" s="27">
        <f t="shared" si="224"/>
        <v>2929.9</v>
      </c>
      <c r="E692" s="27">
        <f t="shared" si="224"/>
        <v>1849.9</v>
      </c>
      <c r="F692" s="27">
        <f t="shared" si="224"/>
        <v>1849.9</v>
      </c>
      <c r="G692" s="152"/>
    </row>
    <row r="693" spans="1:7" x14ac:dyDescent="0.25">
      <c r="A693" s="273" t="s">
        <v>52</v>
      </c>
      <c r="B693" s="156" t="s">
        <v>287</v>
      </c>
      <c r="C693" s="444">
        <v>240</v>
      </c>
      <c r="D693" s="27">
        <f>'Функц. 2025-2027'!F40</f>
        <v>2929.9</v>
      </c>
      <c r="E693" s="27">
        <f>'Функц. 2025-2027'!H40</f>
        <v>1849.9</v>
      </c>
      <c r="F693" s="27">
        <f>'Функц. 2025-2027'!J40</f>
        <v>1849.9</v>
      </c>
      <c r="G693" s="152"/>
    </row>
    <row r="694" spans="1:7" ht="47.25" x14ac:dyDescent="0.25">
      <c r="A694" s="523" t="s">
        <v>290</v>
      </c>
      <c r="B694" s="156" t="s">
        <v>288</v>
      </c>
      <c r="C694" s="444"/>
      <c r="D694" s="27">
        <f t="shared" ref="D694:F695" si="225">D695</f>
        <v>5228</v>
      </c>
      <c r="E694" s="27">
        <f t="shared" si="225"/>
        <v>4779.1000000000004</v>
      </c>
      <c r="F694" s="27">
        <f t="shared" si="225"/>
        <v>4779.1000000000004</v>
      </c>
      <c r="G694" s="152"/>
    </row>
    <row r="695" spans="1:7" ht="47.25" x14ac:dyDescent="0.25">
      <c r="A695" s="273" t="s">
        <v>41</v>
      </c>
      <c r="B695" s="156" t="s">
        <v>288</v>
      </c>
      <c r="C695" s="407">
        <v>100</v>
      </c>
      <c r="D695" s="27">
        <f t="shared" si="225"/>
        <v>5228</v>
      </c>
      <c r="E695" s="27">
        <f t="shared" si="225"/>
        <v>4779.1000000000004</v>
      </c>
      <c r="F695" s="27">
        <f t="shared" si="225"/>
        <v>4779.1000000000004</v>
      </c>
      <c r="G695" s="152"/>
    </row>
    <row r="696" spans="1:7" x14ac:dyDescent="0.25">
      <c r="A696" s="273" t="s">
        <v>96</v>
      </c>
      <c r="B696" s="156" t="s">
        <v>288</v>
      </c>
      <c r="C696" s="444">
        <v>120</v>
      </c>
      <c r="D696" s="27">
        <f>'Функц. 2025-2027'!F43</f>
        <v>5228</v>
      </c>
      <c r="E696" s="27">
        <f>'Функц. 2025-2027'!H43</f>
        <v>4779.1000000000004</v>
      </c>
      <c r="F696" s="27">
        <f>'Функц. 2025-2027'!J43</f>
        <v>4779.1000000000004</v>
      </c>
      <c r="G696" s="152"/>
    </row>
    <row r="697" spans="1:7" ht="31.5" x14ac:dyDescent="0.25">
      <c r="A697" s="273" t="s">
        <v>291</v>
      </c>
      <c r="B697" s="156" t="s">
        <v>289</v>
      </c>
      <c r="C697" s="444"/>
      <c r="D697" s="27">
        <f t="shared" ref="D697:F698" si="226">D698</f>
        <v>4896.3999999999996</v>
      </c>
      <c r="E697" s="27">
        <f t="shared" si="226"/>
        <v>4896.3999999999996</v>
      </c>
      <c r="F697" s="27">
        <f t="shared" si="226"/>
        <v>4896.3999999999996</v>
      </c>
      <c r="G697" s="152"/>
    </row>
    <row r="698" spans="1:7" ht="47.25" x14ac:dyDescent="0.25">
      <c r="A698" s="273" t="s">
        <v>41</v>
      </c>
      <c r="B698" s="156" t="s">
        <v>289</v>
      </c>
      <c r="C698" s="407">
        <v>100</v>
      </c>
      <c r="D698" s="27">
        <f t="shared" si="226"/>
        <v>4896.3999999999996</v>
      </c>
      <c r="E698" s="27">
        <f t="shared" si="226"/>
        <v>4896.3999999999996</v>
      </c>
      <c r="F698" s="27">
        <f t="shared" si="226"/>
        <v>4896.3999999999996</v>
      </c>
      <c r="G698" s="152"/>
    </row>
    <row r="699" spans="1:7" x14ac:dyDescent="0.25">
      <c r="A699" s="273" t="s">
        <v>96</v>
      </c>
      <c r="B699" s="156" t="s">
        <v>289</v>
      </c>
      <c r="C699" s="444">
        <v>120</v>
      </c>
      <c r="D699" s="27">
        <f>'Функц. 2025-2027'!F46</f>
        <v>4896.3999999999996</v>
      </c>
      <c r="E699" s="27">
        <f>'Функц. 2025-2027'!H46</f>
        <v>4896.3999999999996</v>
      </c>
      <c r="F699" s="27">
        <f>'Функц. 2025-2027'!J46</f>
        <v>4896.3999999999996</v>
      </c>
      <c r="G699" s="152"/>
    </row>
    <row r="700" spans="1:7" x14ac:dyDescent="0.25">
      <c r="A700" s="276" t="s">
        <v>272</v>
      </c>
      <c r="B700" s="156" t="s">
        <v>273</v>
      </c>
      <c r="C700" s="444"/>
      <c r="D700" s="27">
        <f>D701+D704+D707+D710</f>
        <v>11176.400000000001</v>
      </c>
      <c r="E700" s="27">
        <f>E701+E704+E707+E710</f>
        <v>10763.400000000001</v>
      </c>
      <c r="F700" s="27">
        <f>F701+F704+F707+F710</f>
        <v>10763.400000000001</v>
      </c>
      <c r="G700" s="152"/>
    </row>
    <row r="701" spans="1:7" x14ac:dyDescent="0.25">
      <c r="A701" s="273" t="s">
        <v>275</v>
      </c>
      <c r="B701" s="156" t="s">
        <v>276</v>
      </c>
      <c r="C701" s="444"/>
      <c r="D701" s="27">
        <f t="shared" ref="D701:F702" si="227">D702</f>
        <v>1348.2</v>
      </c>
      <c r="E701" s="27">
        <f t="shared" si="227"/>
        <v>1348.2</v>
      </c>
      <c r="F701" s="27">
        <f t="shared" si="227"/>
        <v>1348.2</v>
      </c>
      <c r="G701" s="152"/>
    </row>
    <row r="702" spans="1:7" x14ac:dyDescent="0.25">
      <c r="A702" s="273" t="s">
        <v>120</v>
      </c>
      <c r="B702" s="156" t="s">
        <v>276</v>
      </c>
      <c r="C702" s="444">
        <v>200</v>
      </c>
      <c r="D702" s="27">
        <f t="shared" si="227"/>
        <v>1348.2</v>
      </c>
      <c r="E702" s="27">
        <f t="shared" si="227"/>
        <v>1348.2</v>
      </c>
      <c r="F702" s="27">
        <f t="shared" si="227"/>
        <v>1348.2</v>
      </c>
      <c r="G702" s="152"/>
    </row>
    <row r="703" spans="1:7" x14ac:dyDescent="0.25">
      <c r="A703" s="273" t="s">
        <v>52</v>
      </c>
      <c r="B703" s="156" t="s">
        <v>276</v>
      </c>
      <c r="C703" s="444">
        <v>240</v>
      </c>
      <c r="D703" s="27">
        <f>'Функц. 2025-2027'!F110</f>
        <v>1348.2</v>
      </c>
      <c r="E703" s="27">
        <f>'Функц. 2025-2027'!H110</f>
        <v>1348.2</v>
      </c>
      <c r="F703" s="27">
        <f>'Функц. 2025-2027'!J110</f>
        <v>1348.2</v>
      </c>
      <c r="G703" s="152"/>
    </row>
    <row r="704" spans="1:7" ht="31.5" x14ac:dyDescent="0.25">
      <c r="A704" s="273" t="s">
        <v>548</v>
      </c>
      <c r="B704" s="156" t="s">
        <v>278</v>
      </c>
      <c r="C704" s="444"/>
      <c r="D704" s="27">
        <f t="shared" ref="D704:F705" si="228">D705</f>
        <v>2423.4</v>
      </c>
      <c r="E704" s="27">
        <f t="shared" si="228"/>
        <v>2423.4</v>
      </c>
      <c r="F704" s="27">
        <f t="shared" si="228"/>
        <v>2423.4</v>
      </c>
      <c r="G704" s="152"/>
    </row>
    <row r="705" spans="1:30" ht="47.25" x14ac:dyDescent="0.25">
      <c r="A705" s="273" t="s">
        <v>41</v>
      </c>
      <c r="B705" s="156" t="s">
        <v>278</v>
      </c>
      <c r="C705" s="444">
        <v>100</v>
      </c>
      <c r="D705" s="27">
        <f t="shared" si="228"/>
        <v>2423.4</v>
      </c>
      <c r="E705" s="27">
        <f t="shared" si="228"/>
        <v>2423.4</v>
      </c>
      <c r="F705" s="27">
        <f t="shared" si="228"/>
        <v>2423.4</v>
      </c>
      <c r="G705" s="152"/>
    </row>
    <row r="706" spans="1:30" x14ac:dyDescent="0.25">
      <c r="A706" s="273" t="s">
        <v>96</v>
      </c>
      <c r="B706" s="156" t="s">
        <v>278</v>
      </c>
      <c r="C706" s="444">
        <v>120</v>
      </c>
      <c r="D706" s="27">
        <f>'Функц. 2025-2027'!F113</f>
        <v>2423.4</v>
      </c>
      <c r="E706" s="27">
        <f>'Функц. 2025-2027'!H113</f>
        <v>2423.4</v>
      </c>
      <c r="F706" s="27">
        <f>'Функц. 2025-2027'!J113</f>
        <v>2423.4</v>
      </c>
      <c r="G706" s="152"/>
    </row>
    <row r="707" spans="1:30" ht="31.5" x14ac:dyDescent="0.25">
      <c r="A707" s="273" t="s">
        <v>280</v>
      </c>
      <c r="B707" s="156" t="s">
        <v>279</v>
      </c>
      <c r="C707" s="444"/>
      <c r="D707" s="27">
        <f t="shared" ref="D707:F708" si="229">D708</f>
        <v>4460</v>
      </c>
      <c r="E707" s="27">
        <f t="shared" si="229"/>
        <v>4460</v>
      </c>
      <c r="F707" s="27">
        <f t="shared" si="229"/>
        <v>4460</v>
      </c>
      <c r="G707" s="152"/>
    </row>
    <row r="708" spans="1:30" ht="47.25" x14ac:dyDescent="0.25">
      <c r="A708" s="273" t="s">
        <v>41</v>
      </c>
      <c r="B708" s="156" t="s">
        <v>279</v>
      </c>
      <c r="C708" s="444">
        <v>100</v>
      </c>
      <c r="D708" s="27">
        <f t="shared" si="229"/>
        <v>4460</v>
      </c>
      <c r="E708" s="27">
        <f t="shared" si="229"/>
        <v>4460</v>
      </c>
      <c r="F708" s="27">
        <f t="shared" si="229"/>
        <v>4460</v>
      </c>
      <c r="G708" s="152"/>
    </row>
    <row r="709" spans="1:30" x14ac:dyDescent="0.25">
      <c r="A709" s="273" t="s">
        <v>96</v>
      </c>
      <c r="B709" s="156" t="s">
        <v>279</v>
      </c>
      <c r="C709" s="444">
        <v>120</v>
      </c>
      <c r="D709" s="27">
        <f>'Функц. 2025-2027'!F116</f>
        <v>4460</v>
      </c>
      <c r="E709" s="27">
        <f>'Функц. 2025-2027'!H116</f>
        <v>4460</v>
      </c>
      <c r="F709" s="27">
        <f>'Функц. 2025-2027'!J116</f>
        <v>4460</v>
      </c>
      <c r="G709" s="152"/>
    </row>
    <row r="710" spans="1:30" s="177" customFormat="1" ht="31.5" x14ac:dyDescent="0.25">
      <c r="A710" s="523" t="s">
        <v>403</v>
      </c>
      <c r="B710" s="156" t="s">
        <v>404</v>
      </c>
      <c r="C710" s="444"/>
      <c r="D710" s="27">
        <f t="shared" ref="D710:F711" si="230">D711</f>
        <v>2944.8</v>
      </c>
      <c r="E710" s="27">
        <f t="shared" si="230"/>
        <v>2531.8000000000002</v>
      </c>
      <c r="F710" s="27">
        <f t="shared" si="230"/>
        <v>2531.8000000000002</v>
      </c>
      <c r="G710" s="152"/>
    </row>
    <row r="711" spans="1:30" s="177" customFormat="1" ht="47.25" x14ac:dyDescent="0.25">
      <c r="A711" s="375" t="s">
        <v>41</v>
      </c>
      <c r="B711" s="156" t="s">
        <v>404</v>
      </c>
      <c r="C711" s="444">
        <v>100</v>
      </c>
      <c r="D711" s="27">
        <f t="shared" si="230"/>
        <v>2944.8</v>
      </c>
      <c r="E711" s="27">
        <f t="shared" si="230"/>
        <v>2531.8000000000002</v>
      </c>
      <c r="F711" s="27">
        <f t="shared" si="230"/>
        <v>2531.8000000000002</v>
      </c>
      <c r="G711" s="152"/>
    </row>
    <row r="712" spans="1:30" s="177" customFormat="1" x14ac:dyDescent="0.25">
      <c r="A712" s="375" t="s">
        <v>96</v>
      </c>
      <c r="B712" s="156" t="s">
        <v>404</v>
      </c>
      <c r="C712" s="444">
        <v>120</v>
      </c>
      <c r="D712" s="27">
        <f>'Функц. 2025-2027'!F119</f>
        <v>2944.8</v>
      </c>
      <c r="E712" s="27">
        <f>'Функц. 2025-2027'!H119</f>
        <v>2531.8000000000002</v>
      </c>
      <c r="F712" s="27">
        <f>'Функц. 2025-2027'!J119</f>
        <v>2531.8000000000002</v>
      </c>
      <c r="G712" s="152"/>
    </row>
    <row r="713" spans="1:30" s="172" customFormat="1" x14ac:dyDescent="0.25">
      <c r="A713" s="397" t="s">
        <v>332</v>
      </c>
      <c r="B713" s="280" t="s">
        <v>137</v>
      </c>
      <c r="C713" s="601"/>
      <c r="D713" s="30">
        <f>D717+D726+D723+D714+D720</f>
        <v>22712</v>
      </c>
      <c r="E713" s="518">
        <f t="shared" ref="E713:AD713" si="231">E717+E726+E723+E714+E720</f>
        <v>1505.8999999999996</v>
      </c>
      <c r="F713" s="518">
        <f t="shared" si="231"/>
        <v>2562.7000000000003</v>
      </c>
      <c r="G713" s="518">
        <f t="shared" si="231"/>
        <v>0</v>
      </c>
      <c r="H713" s="518">
        <f t="shared" si="231"/>
        <v>0</v>
      </c>
      <c r="I713" s="518">
        <f t="shared" si="231"/>
        <v>0</v>
      </c>
      <c r="J713" s="518">
        <f t="shared" si="231"/>
        <v>0</v>
      </c>
      <c r="K713" s="518">
        <f t="shared" si="231"/>
        <v>0</v>
      </c>
      <c r="L713" s="518">
        <f t="shared" si="231"/>
        <v>0</v>
      </c>
      <c r="M713" s="518">
        <f t="shared" si="231"/>
        <v>0</v>
      </c>
      <c r="N713" s="518">
        <f t="shared" si="231"/>
        <v>0</v>
      </c>
      <c r="O713" s="518">
        <f t="shared" si="231"/>
        <v>0</v>
      </c>
      <c r="P713" s="518">
        <f t="shared" si="231"/>
        <v>0</v>
      </c>
      <c r="Q713" s="518">
        <f t="shared" si="231"/>
        <v>0</v>
      </c>
      <c r="R713" s="518">
        <f t="shared" si="231"/>
        <v>0</v>
      </c>
      <c r="S713" s="518">
        <f t="shared" si="231"/>
        <v>0</v>
      </c>
      <c r="T713" s="518">
        <f t="shared" si="231"/>
        <v>0</v>
      </c>
      <c r="U713" s="518">
        <f t="shared" si="231"/>
        <v>0</v>
      </c>
      <c r="V713" s="518">
        <f t="shared" si="231"/>
        <v>0</v>
      </c>
      <c r="W713" s="518">
        <f t="shared" si="231"/>
        <v>0</v>
      </c>
      <c r="X713" s="518">
        <f t="shared" si="231"/>
        <v>0</v>
      </c>
      <c r="Y713" s="518">
        <f t="shared" si="231"/>
        <v>0</v>
      </c>
      <c r="Z713" s="518">
        <f t="shared" si="231"/>
        <v>0</v>
      </c>
      <c r="AA713" s="518">
        <f t="shared" si="231"/>
        <v>0</v>
      </c>
      <c r="AB713" s="518">
        <f t="shared" si="231"/>
        <v>0</v>
      </c>
      <c r="AC713" s="518">
        <f t="shared" si="231"/>
        <v>0</v>
      </c>
      <c r="AD713" s="518">
        <f t="shared" si="231"/>
        <v>0</v>
      </c>
    </row>
    <row r="714" spans="1:30" s="425" customFormat="1" x14ac:dyDescent="0.25">
      <c r="A714" s="523" t="s">
        <v>614</v>
      </c>
      <c r="B714" s="156" t="s">
        <v>615</v>
      </c>
      <c r="C714" s="601"/>
      <c r="D714" s="27">
        <f t="shared" ref="D714:F715" si="232">D715</f>
        <v>6400</v>
      </c>
      <c r="E714" s="27">
        <f t="shared" si="232"/>
        <v>0</v>
      </c>
      <c r="F714" s="27">
        <f t="shared" si="232"/>
        <v>0</v>
      </c>
      <c r="G714" s="152"/>
    </row>
    <row r="715" spans="1:30" s="425" customFormat="1" x14ac:dyDescent="0.25">
      <c r="A715" s="523" t="s">
        <v>42</v>
      </c>
      <c r="B715" s="156" t="s">
        <v>615</v>
      </c>
      <c r="C715" s="444">
        <v>800</v>
      </c>
      <c r="D715" s="27">
        <f t="shared" si="232"/>
        <v>6400</v>
      </c>
      <c r="E715" s="27">
        <f t="shared" si="232"/>
        <v>0</v>
      </c>
      <c r="F715" s="27">
        <f t="shared" si="232"/>
        <v>0</v>
      </c>
      <c r="G715" s="152"/>
    </row>
    <row r="716" spans="1:30" s="425" customFormat="1" x14ac:dyDescent="0.25">
      <c r="A716" s="523" t="s">
        <v>621</v>
      </c>
      <c r="B716" s="156" t="s">
        <v>615</v>
      </c>
      <c r="C716" s="444">
        <v>880</v>
      </c>
      <c r="D716" s="27">
        <f>'Функц. 2025-2027'!F124</f>
        <v>6400</v>
      </c>
      <c r="E716" s="27">
        <f>'Функц. 2025-2027'!H124</f>
        <v>0</v>
      </c>
      <c r="F716" s="27">
        <f>'Функц. 2025-2027'!J124</f>
        <v>0</v>
      </c>
      <c r="G716" s="152"/>
    </row>
    <row r="717" spans="1:30" ht="31.5" x14ac:dyDescent="0.25">
      <c r="A717" s="276" t="s">
        <v>325</v>
      </c>
      <c r="B717" s="156" t="s">
        <v>326</v>
      </c>
      <c r="C717" s="444"/>
      <c r="D717" s="27">
        <f t="shared" ref="D717:F718" si="233">D718</f>
        <v>1000</v>
      </c>
      <c r="E717" s="27">
        <f t="shared" si="233"/>
        <v>0</v>
      </c>
      <c r="F717" s="27">
        <f t="shared" si="233"/>
        <v>0</v>
      </c>
      <c r="G717" s="152"/>
    </row>
    <row r="718" spans="1:30" x14ac:dyDescent="0.25">
      <c r="A718" s="273" t="s">
        <v>42</v>
      </c>
      <c r="B718" s="156" t="s">
        <v>326</v>
      </c>
      <c r="C718" s="444">
        <v>800</v>
      </c>
      <c r="D718" s="27">
        <f t="shared" si="233"/>
        <v>1000</v>
      </c>
      <c r="E718" s="27">
        <f t="shared" si="233"/>
        <v>0</v>
      </c>
      <c r="F718" s="27">
        <f t="shared" si="233"/>
        <v>0</v>
      </c>
      <c r="G718" s="152"/>
    </row>
    <row r="719" spans="1:30" x14ac:dyDescent="0.25">
      <c r="A719" s="273" t="s">
        <v>136</v>
      </c>
      <c r="B719" s="156" t="s">
        <v>326</v>
      </c>
      <c r="C719" s="444">
        <v>870</v>
      </c>
      <c r="D719" s="27">
        <f>'Функц. 2025-2027'!F129</f>
        <v>1000</v>
      </c>
      <c r="E719" s="27">
        <f>'Функц. 2025-2027'!H129</f>
        <v>0</v>
      </c>
      <c r="F719" s="27">
        <f>'Функц. 2025-2027'!J129</f>
        <v>0</v>
      </c>
      <c r="G719" s="152"/>
    </row>
    <row r="720" spans="1:30" s="519" customFormat="1" x14ac:dyDescent="0.25">
      <c r="A720" s="451" t="s">
        <v>796</v>
      </c>
      <c r="B720" s="542" t="s">
        <v>797</v>
      </c>
      <c r="C720" s="454"/>
      <c r="D720" s="517">
        <f>D721</f>
        <v>31.3</v>
      </c>
      <c r="E720" s="517">
        <f t="shared" ref="E720:F720" si="234">E721</f>
        <v>0</v>
      </c>
      <c r="F720" s="517">
        <f t="shared" si="234"/>
        <v>0</v>
      </c>
      <c r="G720" s="520"/>
    </row>
    <row r="721" spans="1:30" s="519" customFormat="1" x14ac:dyDescent="0.25">
      <c r="A721" s="451" t="s">
        <v>42</v>
      </c>
      <c r="B721" s="542" t="s">
        <v>797</v>
      </c>
      <c r="C721" s="454">
        <v>800</v>
      </c>
      <c r="D721" s="517">
        <f>D722</f>
        <v>31.3</v>
      </c>
      <c r="E721" s="517">
        <f t="shared" ref="E721:F721" si="235">E722</f>
        <v>0</v>
      </c>
      <c r="F721" s="517">
        <f t="shared" si="235"/>
        <v>0</v>
      </c>
      <c r="G721" s="520"/>
    </row>
    <row r="722" spans="1:30" s="519" customFormat="1" x14ac:dyDescent="0.25">
      <c r="A722" s="451" t="s">
        <v>798</v>
      </c>
      <c r="B722" s="542" t="s">
        <v>797</v>
      </c>
      <c r="C722" s="454">
        <v>830</v>
      </c>
      <c r="D722" s="517">
        <f>'Функц. 2025-2027'!F211</f>
        <v>31.3</v>
      </c>
      <c r="E722" s="517">
        <f>'Функц. 2025-2027'!H211</f>
        <v>0</v>
      </c>
      <c r="F722" s="517">
        <f>'Функц. 2025-2027'!J211</f>
        <v>0</v>
      </c>
      <c r="G722" s="520"/>
    </row>
    <row r="723" spans="1:30" s="177" customFormat="1" x14ac:dyDescent="0.25">
      <c r="A723" s="258" t="s">
        <v>613</v>
      </c>
      <c r="B723" s="156" t="s">
        <v>612</v>
      </c>
      <c r="C723" s="602"/>
      <c r="D723" s="27">
        <f t="shared" ref="D723:F724" si="236">D724</f>
        <v>331</v>
      </c>
      <c r="E723" s="27">
        <f t="shared" si="236"/>
        <v>0</v>
      </c>
      <c r="F723" s="27">
        <f t="shared" si="236"/>
        <v>0</v>
      </c>
      <c r="G723" s="152"/>
    </row>
    <row r="724" spans="1:30" s="177" customFormat="1" x14ac:dyDescent="0.25">
      <c r="A724" s="273" t="s">
        <v>97</v>
      </c>
      <c r="B724" s="156" t="s">
        <v>612</v>
      </c>
      <c r="C724" s="444">
        <v>300</v>
      </c>
      <c r="D724" s="167">
        <f t="shared" si="236"/>
        <v>331</v>
      </c>
      <c r="E724" s="167">
        <f t="shared" si="236"/>
        <v>0</v>
      </c>
      <c r="F724" s="167">
        <f t="shared" si="236"/>
        <v>0</v>
      </c>
      <c r="G724" s="152"/>
    </row>
    <row r="725" spans="1:30" s="177" customFormat="1" x14ac:dyDescent="0.25">
      <c r="A725" s="375" t="s">
        <v>131</v>
      </c>
      <c r="B725" s="156" t="s">
        <v>612</v>
      </c>
      <c r="C725" s="444">
        <v>310</v>
      </c>
      <c r="D725" s="27">
        <f>'Функц. 2025-2027'!F836</f>
        <v>331</v>
      </c>
      <c r="E725" s="27">
        <f>'Функц. 2025-2027'!H836</f>
        <v>0</v>
      </c>
      <c r="F725" s="27">
        <f>'Функц. 2025-2027'!J836</f>
        <v>0</v>
      </c>
      <c r="G725" s="152"/>
    </row>
    <row r="726" spans="1:30" s="177" customFormat="1" x14ac:dyDescent="0.25">
      <c r="A726" s="523" t="s">
        <v>427</v>
      </c>
      <c r="B726" s="282" t="s">
        <v>428</v>
      </c>
      <c r="C726" s="607"/>
      <c r="D726" s="27">
        <f>D733+D727+D730</f>
        <v>14949.7</v>
      </c>
      <c r="E726" s="517">
        <f t="shared" ref="E726:F726" si="237">E733+E727+E730</f>
        <v>1505.8999999999996</v>
      </c>
      <c r="F726" s="517">
        <f t="shared" si="237"/>
        <v>2562.7000000000003</v>
      </c>
      <c r="G726" s="152"/>
    </row>
    <row r="727" spans="1:30" s="519" customFormat="1" x14ac:dyDescent="0.25">
      <c r="A727" s="451" t="s">
        <v>799</v>
      </c>
      <c r="B727" s="700" t="s">
        <v>800</v>
      </c>
      <c r="C727" s="701"/>
      <c r="D727" s="517">
        <f>D728</f>
        <v>150</v>
      </c>
      <c r="E727" s="517">
        <f t="shared" ref="E727:F728" si="238">E728</f>
        <v>0</v>
      </c>
      <c r="F727" s="517">
        <f t="shared" si="238"/>
        <v>0</v>
      </c>
      <c r="G727" s="520"/>
    </row>
    <row r="728" spans="1:30" s="519" customFormat="1" x14ac:dyDescent="0.25">
      <c r="A728" s="451" t="s">
        <v>42</v>
      </c>
      <c r="B728" s="700" t="s">
        <v>800</v>
      </c>
      <c r="C728" s="701">
        <v>800</v>
      </c>
      <c r="D728" s="517">
        <f>D729</f>
        <v>150</v>
      </c>
      <c r="E728" s="517">
        <f t="shared" si="238"/>
        <v>0</v>
      </c>
      <c r="F728" s="517">
        <f t="shared" si="238"/>
        <v>0</v>
      </c>
      <c r="G728" s="517">
        <f t="shared" ref="G728:AD728" si="239">G729</f>
        <v>0</v>
      </c>
      <c r="H728" s="517">
        <f t="shared" si="239"/>
        <v>0</v>
      </c>
      <c r="I728" s="517">
        <f t="shared" si="239"/>
        <v>0</v>
      </c>
      <c r="J728" s="517">
        <f t="shared" si="239"/>
        <v>0</v>
      </c>
      <c r="K728" s="517">
        <f t="shared" si="239"/>
        <v>0</v>
      </c>
      <c r="L728" s="517">
        <f t="shared" si="239"/>
        <v>0</v>
      </c>
      <c r="M728" s="517">
        <f t="shared" si="239"/>
        <v>0</v>
      </c>
      <c r="N728" s="517">
        <f t="shared" si="239"/>
        <v>0</v>
      </c>
      <c r="O728" s="517">
        <f t="shared" si="239"/>
        <v>0</v>
      </c>
      <c r="P728" s="517">
        <f t="shared" si="239"/>
        <v>0</v>
      </c>
      <c r="Q728" s="517">
        <f t="shared" si="239"/>
        <v>0</v>
      </c>
      <c r="R728" s="517">
        <f t="shared" si="239"/>
        <v>0</v>
      </c>
      <c r="S728" s="517">
        <f t="shared" si="239"/>
        <v>0</v>
      </c>
      <c r="T728" s="517">
        <f t="shared" si="239"/>
        <v>0</v>
      </c>
      <c r="U728" s="517">
        <f t="shared" si="239"/>
        <v>0</v>
      </c>
      <c r="V728" s="517">
        <f t="shared" si="239"/>
        <v>0</v>
      </c>
      <c r="W728" s="517">
        <f t="shared" si="239"/>
        <v>0</v>
      </c>
      <c r="X728" s="517">
        <f t="shared" si="239"/>
        <v>0</v>
      </c>
      <c r="Y728" s="517">
        <f t="shared" si="239"/>
        <v>0</v>
      </c>
      <c r="Z728" s="517">
        <f t="shared" si="239"/>
        <v>0</v>
      </c>
      <c r="AA728" s="517">
        <f t="shared" si="239"/>
        <v>0</v>
      </c>
      <c r="AB728" s="517">
        <f t="shared" si="239"/>
        <v>0</v>
      </c>
      <c r="AC728" s="517">
        <f t="shared" si="239"/>
        <v>0</v>
      </c>
      <c r="AD728" s="517">
        <f t="shared" si="239"/>
        <v>0</v>
      </c>
    </row>
    <row r="729" spans="1:30" s="519" customFormat="1" x14ac:dyDescent="0.25">
      <c r="A729" s="451" t="s">
        <v>57</v>
      </c>
      <c r="B729" s="700" t="s">
        <v>800</v>
      </c>
      <c r="C729" s="701">
        <v>850</v>
      </c>
      <c r="D729" s="517">
        <f>'Функц. 2025-2027'!F215</f>
        <v>150</v>
      </c>
      <c r="E729" s="517">
        <f>'Функц. 2025-2027'!H215</f>
        <v>0</v>
      </c>
      <c r="F729" s="517">
        <f>'Функц. 2025-2027'!J215</f>
        <v>0</v>
      </c>
      <c r="G729" s="520"/>
    </row>
    <row r="730" spans="1:30" s="519" customFormat="1" x14ac:dyDescent="0.25">
      <c r="A730" s="451" t="s">
        <v>820</v>
      </c>
      <c r="B730" s="700" t="s">
        <v>819</v>
      </c>
      <c r="C730" s="454"/>
      <c r="D730" s="517">
        <f>D731</f>
        <v>2000</v>
      </c>
      <c r="E730" s="517">
        <f t="shared" ref="E730:F731" si="240">E731</f>
        <v>0</v>
      </c>
      <c r="F730" s="517">
        <f t="shared" si="240"/>
        <v>0</v>
      </c>
      <c r="G730" s="520"/>
    </row>
    <row r="731" spans="1:30" s="519" customFormat="1" x14ac:dyDescent="0.25">
      <c r="A731" s="451" t="s">
        <v>97</v>
      </c>
      <c r="B731" s="700" t="s">
        <v>819</v>
      </c>
      <c r="C731" s="454">
        <v>300</v>
      </c>
      <c r="D731" s="517">
        <f>D732</f>
        <v>2000</v>
      </c>
      <c r="E731" s="517">
        <f t="shared" si="240"/>
        <v>0</v>
      </c>
      <c r="F731" s="517">
        <f t="shared" si="240"/>
        <v>0</v>
      </c>
      <c r="G731" s="520"/>
    </row>
    <row r="732" spans="1:30" s="519" customFormat="1" x14ac:dyDescent="0.25">
      <c r="A732" s="451" t="s">
        <v>40</v>
      </c>
      <c r="B732" s="700" t="s">
        <v>819</v>
      </c>
      <c r="C732" s="454">
        <v>320</v>
      </c>
      <c r="D732" s="517">
        <f>'Функц. 2025-2027'!F303</f>
        <v>2000</v>
      </c>
      <c r="E732" s="517">
        <f>'Функц. 2025-2027'!H303</f>
        <v>0</v>
      </c>
      <c r="F732" s="517">
        <f>'Функц. 2025-2027'!J303</f>
        <v>0</v>
      </c>
      <c r="G732" s="520"/>
    </row>
    <row r="733" spans="1:30" s="199" customFormat="1" ht="31.5" x14ac:dyDescent="0.25">
      <c r="A733" s="523" t="s">
        <v>430</v>
      </c>
      <c r="B733" s="282" t="s">
        <v>431</v>
      </c>
      <c r="C733" s="607"/>
      <c r="D733" s="27">
        <f t="shared" ref="D733:F734" si="241">D734</f>
        <v>12799.7</v>
      </c>
      <c r="E733" s="27">
        <f t="shared" si="241"/>
        <v>1505.8999999999996</v>
      </c>
      <c r="F733" s="27">
        <f t="shared" si="241"/>
        <v>2562.7000000000003</v>
      </c>
      <c r="G733" s="152"/>
      <c r="H733" s="438"/>
      <c r="I733" s="438"/>
      <c r="J733" s="438"/>
      <c r="K733" s="438"/>
      <c r="L733" s="438"/>
      <c r="M733" s="438"/>
      <c r="N733" s="438"/>
      <c r="O733" s="438"/>
      <c r="P733" s="438"/>
      <c r="Q733" s="438"/>
      <c r="R733" s="438"/>
      <c r="S733" s="438"/>
      <c r="T733" s="438"/>
      <c r="U733" s="438"/>
      <c r="V733" s="438"/>
      <c r="W733" s="438"/>
      <c r="X733" s="438"/>
      <c r="Y733" s="438"/>
      <c r="Z733" s="438"/>
      <c r="AA733" s="438"/>
      <c r="AB733" s="438"/>
      <c r="AC733" s="438"/>
      <c r="AD733" s="438"/>
    </row>
    <row r="734" spans="1:30" s="199" customFormat="1" x14ac:dyDescent="0.25">
      <c r="A734" s="523" t="s">
        <v>42</v>
      </c>
      <c r="B734" s="282" t="s">
        <v>431</v>
      </c>
      <c r="C734" s="607">
        <v>800</v>
      </c>
      <c r="D734" s="420">
        <f t="shared" si="241"/>
        <v>12799.7</v>
      </c>
      <c r="E734" s="421">
        <f t="shared" si="241"/>
        <v>1505.8999999999996</v>
      </c>
      <c r="F734" s="421">
        <f t="shared" si="241"/>
        <v>2562.7000000000003</v>
      </c>
      <c r="G734" s="152"/>
      <c r="H734" s="438"/>
      <c r="I734" s="438"/>
      <c r="J734" s="438"/>
      <c r="K734" s="438"/>
      <c r="L734" s="438"/>
      <c r="M734" s="438"/>
      <c r="N734" s="438"/>
      <c r="O734" s="438"/>
      <c r="P734" s="438"/>
      <c r="Q734" s="438"/>
      <c r="R734" s="438"/>
      <c r="S734" s="438"/>
      <c r="T734" s="438"/>
      <c r="U734" s="438"/>
      <c r="V734" s="438"/>
      <c r="W734" s="438"/>
      <c r="X734" s="438"/>
      <c r="Y734" s="438"/>
      <c r="Z734" s="438"/>
      <c r="AA734" s="438"/>
      <c r="AB734" s="438"/>
      <c r="AC734" s="438"/>
      <c r="AD734" s="438"/>
    </row>
    <row r="735" spans="1:30" s="199" customFormat="1" ht="16.5" thickBot="1" x14ac:dyDescent="0.3">
      <c r="A735" s="523" t="s">
        <v>136</v>
      </c>
      <c r="B735" s="282" t="s">
        <v>431</v>
      </c>
      <c r="C735" s="607">
        <v>870</v>
      </c>
      <c r="D735" s="270">
        <f>'Функц. 2025-2027'!F218</f>
        <v>12799.7</v>
      </c>
      <c r="E735" s="270">
        <f>'Функц. 2025-2027'!H218</f>
        <v>1505.8999999999996</v>
      </c>
      <c r="F735" s="270">
        <f>'Функц. 2025-2027'!J218</f>
        <v>2562.7000000000003</v>
      </c>
      <c r="G735" s="152"/>
      <c r="H735" s="438"/>
      <c r="I735" s="438"/>
      <c r="J735" s="438"/>
      <c r="K735" s="438"/>
      <c r="L735" s="438"/>
      <c r="M735" s="438"/>
      <c r="N735" s="438"/>
      <c r="O735" s="438"/>
      <c r="P735" s="438"/>
      <c r="Q735" s="438"/>
      <c r="R735" s="438"/>
      <c r="S735" s="438"/>
      <c r="T735" s="438"/>
      <c r="U735" s="438"/>
      <c r="V735" s="438"/>
      <c r="W735" s="438"/>
      <c r="X735" s="438"/>
      <c r="Y735" s="438"/>
      <c r="Z735" s="438"/>
      <c r="AA735" s="438"/>
      <c r="AB735" s="438"/>
      <c r="AC735" s="438"/>
      <c r="AD735" s="438"/>
    </row>
    <row r="736" spans="1:30" ht="16.5" thickBot="1" x14ac:dyDescent="0.3">
      <c r="A736" s="403" t="s">
        <v>50</v>
      </c>
      <c r="B736" s="623"/>
      <c r="C736" s="611"/>
      <c r="D736" s="510">
        <f>D682+D683+D713</f>
        <v>5409112.2999999998</v>
      </c>
      <c r="E736" s="527">
        <f>E682+E683+E713</f>
        <v>3284433.0999999992</v>
      </c>
      <c r="F736" s="528">
        <f>F682+F683+F713</f>
        <v>3189048.1999999997</v>
      </c>
      <c r="G736" s="152"/>
    </row>
    <row r="737" spans="1:5" x14ac:dyDescent="0.25">
      <c r="A737" s="21"/>
      <c r="B737" s="168"/>
      <c r="C737" s="28"/>
      <c r="D737" s="29"/>
      <c r="E737" s="29"/>
    </row>
    <row r="738" spans="1:5" x14ac:dyDescent="0.25">
      <c r="A738" s="21"/>
      <c r="B738" s="168"/>
      <c r="C738" s="28"/>
      <c r="D738" s="29"/>
      <c r="E738" s="29"/>
    </row>
    <row r="739" spans="1:5" x14ac:dyDescent="0.25">
      <c r="A739" s="21"/>
      <c r="B739" s="168"/>
      <c r="C739" s="28"/>
      <c r="D739" s="29"/>
      <c r="E739" s="29"/>
    </row>
    <row r="740" spans="1:5" x14ac:dyDescent="0.25">
      <c r="A740" s="21"/>
      <c r="B740" s="168"/>
      <c r="C740" s="28"/>
      <c r="D740" s="29"/>
      <c r="E740" s="29"/>
    </row>
    <row r="741" spans="1:5" x14ac:dyDescent="0.25">
      <c r="A741" s="21"/>
      <c r="B741" s="168"/>
      <c r="C741" s="28"/>
      <c r="D741" s="29"/>
      <c r="E741" s="29"/>
    </row>
    <row r="742" spans="1:5" x14ac:dyDescent="0.25">
      <c r="A742" s="21"/>
      <c r="B742" s="168"/>
      <c r="C742" s="28"/>
      <c r="D742" s="29"/>
      <c r="E742" s="29"/>
    </row>
    <row r="743" spans="1:5" x14ac:dyDescent="0.25">
      <c r="A743" s="21"/>
      <c r="B743" s="168"/>
      <c r="C743" s="28"/>
      <c r="D743" s="29"/>
      <c r="E743" s="29"/>
    </row>
    <row r="744" spans="1:5" x14ac:dyDescent="0.25">
      <c r="A744" s="21"/>
      <c r="B744" s="168"/>
      <c r="C744" s="28"/>
      <c r="D744" s="29"/>
      <c r="E744" s="29"/>
    </row>
    <row r="745" spans="1:5" x14ac:dyDescent="0.25">
      <c r="A745" s="21"/>
      <c r="B745" s="168"/>
      <c r="C745" s="28"/>
      <c r="D745" s="29"/>
      <c r="E745" s="29"/>
    </row>
    <row r="746" spans="1:5" x14ac:dyDescent="0.25">
      <c r="A746" s="21"/>
      <c r="B746" s="168"/>
      <c r="C746" s="28"/>
      <c r="D746" s="29"/>
      <c r="E746" s="29"/>
    </row>
    <row r="747" spans="1:5" x14ac:dyDescent="0.25">
      <c r="A747" s="21"/>
      <c r="B747" s="168"/>
      <c r="C747" s="28"/>
      <c r="D747" s="29"/>
      <c r="E747" s="29"/>
    </row>
    <row r="748" spans="1:5" x14ac:dyDescent="0.25">
      <c r="A748" s="21"/>
      <c r="B748" s="168"/>
      <c r="C748" s="28"/>
      <c r="D748" s="29"/>
      <c r="E748" s="29"/>
    </row>
    <row r="749" spans="1:5" x14ac:dyDescent="0.25">
      <c r="A749" s="21"/>
      <c r="B749" s="168"/>
      <c r="C749" s="28"/>
      <c r="D749" s="29"/>
      <c r="E749" s="29"/>
    </row>
    <row r="750" spans="1:5" x14ac:dyDescent="0.25">
      <c r="A750" s="21"/>
      <c r="B750" s="168"/>
      <c r="C750" s="28"/>
      <c r="D750" s="29"/>
      <c r="E750" s="29"/>
    </row>
    <row r="751" spans="1:5" x14ac:dyDescent="0.25">
      <c r="A751" s="21"/>
      <c r="B751" s="168"/>
      <c r="C751" s="28"/>
      <c r="D751" s="29"/>
      <c r="E751" s="29"/>
    </row>
    <row r="752" spans="1:5" x14ac:dyDescent="0.25">
      <c r="A752" s="21"/>
      <c r="B752" s="168"/>
      <c r="C752" s="28"/>
      <c r="D752" s="29"/>
      <c r="E752" s="29"/>
    </row>
    <row r="753" spans="1:5" x14ac:dyDescent="0.25">
      <c r="A753" s="21"/>
      <c r="B753" s="168"/>
      <c r="C753" s="28"/>
      <c r="D753" s="29"/>
      <c r="E753" s="29"/>
    </row>
    <row r="754" spans="1:5" x14ac:dyDescent="0.25">
      <c r="A754" s="21"/>
      <c r="B754" s="168"/>
      <c r="C754" s="28"/>
      <c r="D754" s="29"/>
      <c r="E754" s="29"/>
    </row>
    <row r="755" spans="1:5" x14ac:dyDescent="0.25">
      <c r="A755" s="21"/>
      <c r="B755" s="168"/>
      <c r="C755" s="28"/>
      <c r="D755" s="29"/>
      <c r="E755" s="29"/>
    </row>
    <row r="756" spans="1:5" x14ac:dyDescent="0.25">
      <c r="A756" s="21"/>
      <c r="B756" s="168"/>
      <c r="C756" s="28"/>
      <c r="D756" s="29"/>
      <c r="E756" s="29"/>
    </row>
    <row r="757" spans="1:5" x14ac:dyDescent="0.25">
      <c r="A757" s="21"/>
      <c r="B757" s="168"/>
      <c r="C757" s="28"/>
      <c r="D757" s="29"/>
      <c r="E757" s="29"/>
    </row>
    <row r="758" spans="1:5" x14ac:dyDescent="0.25">
      <c r="A758" s="21"/>
      <c r="B758" s="168"/>
      <c r="C758" s="28"/>
      <c r="D758" s="29"/>
      <c r="E758" s="29"/>
    </row>
    <row r="759" spans="1:5" x14ac:dyDescent="0.25">
      <c r="A759" s="21"/>
      <c r="B759" s="168"/>
      <c r="C759" s="28"/>
      <c r="D759" s="29"/>
      <c r="E759" s="29"/>
    </row>
    <row r="760" spans="1:5" x14ac:dyDescent="0.25">
      <c r="A760" s="21"/>
      <c r="B760" s="168"/>
      <c r="C760" s="28"/>
      <c r="D760" s="29"/>
      <c r="E760" s="29"/>
    </row>
    <row r="761" spans="1:5" x14ac:dyDescent="0.25">
      <c r="A761" s="21"/>
      <c r="B761" s="168"/>
      <c r="C761" s="28"/>
      <c r="D761" s="29"/>
      <c r="E761" s="29"/>
    </row>
    <row r="762" spans="1:5" x14ac:dyDescent="0.25">
      <c r="A762" s="21"/>
      <c r="B762" s="168"/>
      <c r="C762" s="28"/>
      <c r="D762" s="29"/>
      <c r="E762" s="29"/>
    </row>
    <row r="763" spans="1:5" x14ac:dyDescent="0.25">
      <c r="A763" s="21"/>
      <c r="B763" s="168"/>
      <c r="C763" s="28"/>
      <c r="D763" s="29"/>
      <c r="E763" s="29"/>
    </row>
    <row r="764" spans="1:5" x14ac:dyDescent="0.25">
      <c r="A764" s="21"/>
      <c r="B764" s="168"/>
      <c r="C764" s="28"/>
      <c r="D764" s="29"/>
      <c r="E764" s="29"/>
    </row>
    <row r="765" spans="1:5" x14ac:dyDescent="0.25">
      <c r="A765" s="21"/>
      <c r="B765" s="168"/>
      <c r="C765" s="28"/>
      <c r="D765" s="29"/>
      <c r="E765" s="29"/>
    </row>
    <row r="766" spans="1:5" x14ac:dyDescent="0.25">
      <c r="A766" s="21"/>
      <c r="B766" s="168"/>
      <c r="C766" s="28"/>
      <c r="D766" s="29"/>
      <c r="E766" s="29"/>
    </row>
    <row r="767" spans="1:5" x14ac:dyDescent="0.25">
      <c r="A767" s="21"/>
      <c r="B767" s="168"/>
      <c r="C767" s="28"/>
      <c r="D767" s="29"/>
      <c r="E767" s="29"/>
    </row>
    <row r="768" spans="1:5" x14ac:dyDescent="0.25">
      <c r="A768" s="21"/>
      <c r="B768" s="168"/>
      <c r="C768" s="28"/>
      <c r="D768" s="29"/>
      <c r="E768" s="29"/>
    </row>
    <row r="769" spans="1:5" x14ac:dyDescent="0.25">
      <c r="A769" s="21"/>
      <c r="B769" s="168"/>
      <c r="C769" s="28"/>
      <c r="D769" s="29"/>
      <c r="E769" s="29"/>
    </row>
    <row r="770" spans="1:5" x14ac:dyDescent="0.25">
      <c r="A770" s="21"/>
      <c r="B770" s="168"/>
      <c r="C770" s="28"/>
      <c r="D770" s="29"/>
      <c r="E770" s="29"/>
    </row>
    <row r="771" spans="1:5" x14ac:dyDescent="0.25">
      <c r="A771" s="21"/>
      <c r="B771" s="168"/>
      <c r="C771" s="28"/>
      <c r="D771" s="29"/>
      <c r="E771" s="29"/>
    </row>
    <row r="772" spans="1:5" x14ac:dyDescent="0.25">
      <c r="A772" s="21"/>
      <c r="B772" s="168"/>
      <c r="C772" s="28"/>
      <c r="D772" s="29"/>
      <c r="E772" s="29"/>
    </row>
    <row r="773" spans="1:5" x14ac:dyDescent="0.25">
      <c r="A773" s="21"/>
      <c r="B773" s="168"/>
      <c r="C773" s="28"/>
      <c r="D773" s="29"/>
      <c r="E773" s="29"/>
    </row>
    <row r="774" spans="1:5" x14ac:dyDescent="0.25">
      <c r="A774" s="21"/>
      <c r="B774" s="168"/>
      <c r="C774" s="28"/>
      <c r="D774" s="29"/>
      <c r="E774" s="29"/>
    </row>
    <row r="775" spans="1:5" x14ac:dyDescent="0.25">
      <c r="A775" s="21"/>
      <c r="B775" s="168"/>
      <c r="C775" s="28"/>
      <c r="D775" s="29"/>
      <c r="E775" s="29"/>
    </row>
    <row r="776" spans="1:5" x14ac:dyDescent="0.25">
      <c r="A776" s="21"/>
      <c r="B776" s="168"/>
      <c r="C776" s="28"/>
      <c r="D776" s="29"/>
      <c r="E776" s="29"/>
    </row>
    <row r="777" spans="1:5" x14ac:dyDescent="0.25">
      <c r="A777" s="21"/>
      <c r="B777" s="168"/>
      <c r="C777" s="28"/>
      <c r="D777" s="29"/>
      <c r="E777" s="29"/>
    </row>
    <row r="778" spans="1:5" x14ac:dyDescent="0.25">
      <c r="A778" s="21"/>
      <c r="B778" s="168"/>
      <c r="C778" s="28"/>
      <c r="D778" s="29"/>
      <c r="E778" s="29"/>
    </row>
    <row r="779" spans="1:5" x14ac:dyDescent="0.25">
      <c r="A779" s="21"/>
      <c r="B779" s="168"/>
      <c r="C779" s="28"/>
      <c r="D779" s="29"/>
      <c r="E779" s="29"/>
    </row>
    <row r="780" spans="1:5" x14ac:dyDescent="0.25">
      <c r="A780" s="21"/>
      <c r="B780" s="168"/>
      <c r="C780" s="28"/>
      <c r="D780" s="29"/>
      <c r="E780" s="29"/>
    </row>
    <row r="781" spans="1:5" x14ac:dyDescent="0.25">
      <c r="A781" s="21"/>
      <c r="B781" s="168"/>
      <c r="C781" s="28"/>
      <c r="D781" s="29"/>
      <c r="E781" s="29"/>
    </row>
    <row r="782" spans="1:5" x14ac:dyDescent="0.25">
      <c r="A782" s="21"/>
      <c r="B782" s="168"/>
      <c r="C782" s="28"/>
      <c r="D782" s="29"/>
      <c r="E782" s="29"/>
    </row>
    <row r="783" spans="1:5" x14ac:dyDescent="0.25">
      <c r="A783" s="21"/>
      <c r="B783" s="168"/>
      <c r="C783" s="28"/>
      <c r="D783" s="29"/>
      <c r="E783" s="29"/>
    </row>
    <row r="784" spans="1:5" x14ac:dyDescent="0.25">
      <c r="A784" s="21"/>
      <c r="B784" s="168"/>
      <c r="C784" s="28"/>
      <c r="D784" s="29"/>
      <c r="E784" s="29"/>
    </row>
    <row r="785" spans="1:5" x14ac:dyDescent="0.25">
      <c r="A785" s="21"/>
      <c r="B785" s="168"/>
      <c r="C785" s="28"/>
      <c r="D785" s="29"/>
      <c r="E785" s="29"/>
    </row>
    <row r="786" spans="1:5" x14ac:dyDescent="0.25">
      <c r="A786" s="21"/>
      <c r="B786" s="168"/>
      <c r="C786" s="28"/>
      <c r="D786" s="29"/>
      <c r="E786" s="29"/>
    </row>
    <row r="787" spans="1:5" x14ac:dyDescent="0.25">
      <c r="A787" s="21"/>
      <c r="B787" s="168"/>
      <c r="C787" s="28"/>
      <c r="D787" s="29"/>
      <c r="E787" s="29"/>
    </row>
    <row r="788" spans="1:5" x14ac:dyDescent="0.25">
      <c r="A788" s="21"/>
      <c r="B788" s="168"/>
      <c r="C788" s="28"/>
      <c r="D788" s="29"/>
      <c r="E788" s="29"/>
    </row>
    <row r="789" spans="1:5" x14ac:dyDescent="0.25">
      <c r="A789" s="21"/>
      <c r="B789" s="168"/>
      <c r="C789" s="28"/>
      <c r="D789" s="29"/>
      <c r="E789" s="29"/>
    </row>
    <row r="790" spans="1:5" x14ac:dyDescent="0.25">
      <c r="A790" s="21"/>
      <c r="B790" s="168"/>
      <c r="C790" s="28"/>
      <c r="D790" s="29"/>
      <c r="E790" s="29"/>
    </row>
    <row r="791" spans="1:5" x14ac:dyDescent="0.25">
      <c r="A791" s="21"/>
      <c r="B791" s="168"/>
      <c r="C791" s="28"/>
      <c r="D791" s="29"/>
      <c r="E791" s="29"/>
    </row>
    <row r="792" spans="1:5" x14ac:dyDescent="0.25">
      <c r="A792" s="21"/>
      <c r="B792" s="168"/>
      <c r="C792" s="28"/>
      <c r="D792" s="29"/>
      <c r="E792" s="29"/>
    </row>
    <row r="793" spans="1:5" x14ac:dyDescent="0.25">
      <c r="A793" s="21"/>
      <c r="B793" s="168"/>
      <c r="C793" s="28"/>
      <c r="D793" s="29"/>
      <c r="E793" s="29"/>
    </row>
    <row r="794" spans="1:5" x14ac:dyDescent="0.25">
      <c r="A794" s="21"/>
      <c r="B794" s="168"/>
      <c r="C794" s="28"/>
      <c r="D794" s="29"/>
      <c r="E794" s="29"/>
    </row>
    <row r="795" spans="1:5" x14ac:dyDescent="0.25">
      <c r="A795" s="21"/>
      <c r="B795" s="168"/>
      <c r="C795" s="28"/>
      <c r="D795" s="29"/>
      <c r="E795" s="29"/>
    </row>
    <row r="796" spans="1:5" x14ac:dyDescent="0.25">
      <c r="A796" s="21"/>
      <c r="B796" s="168"/>
      <c r="C796" s="28"/>
      <c r="D796" s="29"/>
      <c r="E796" s="29"/>
    </row>
    <row r="797" spans="1:5" x14ac:dyDescent="0.25">
      <c r="A797" s="21"/>
      <c r="B797" s="168"/>
      <c r="C797" s="28"/>
      <c r="D797" s="29"/>
      <c r="E797" s="29"/>
    </row>
    <row r="798" spans="1:5" x14ac:dyDescent="0.25">
      <c r="A798" s="21"/>
      <c r="B798" s="168"/>
      <c r="C798" s="28"/>
      <c r="D798" s="29"/>
      <c r="E798" s="29"/>
    </row>
    <row r="799" spans="1:5" x14ac:dyDescent="0.25">
      <c r="A799" s="21"/>
      <c r="B799" s="168"/>
      <c r="C799" s="28"/>
      <c r="D799" s="29"/>
      <c r="E799" s="29"/>
    </row>
    <row r="800" spans="1:5" x14ac:dyDescent="0.25">
      <c r="A800" s="21"/>
      <c r="B800" s="168"/>
      <c r="C800" s="28"/>
      <c r="D800" s="29"/>
      <c r="E800" s="29"/>
    </row>
    <row r="801" spans="1:5" x14ac:dyDescent="0.25">
      <c r="A801" s="21"/>
      <c r="B801" s="168"/>
      <c r="C801" s="28"/>
      <c r="D801" s="29"/>
      <c r="E801" s="29"/>
    </row>
    <row r="802" spans="1:5" x14ac:dyDescent="0.25">
      <c r="A802" s="21"/>
      <c r="B802" s="168"/>
      <c r="C802" s="28"/>
      <c r="D802" s="29"/>
      <c r="E802" s="29"/>
    </row>
    <row r="803" spans="1:5" x14ac:dyDescent="0.25">
      <c r="A803" s="21"/>
      <c r="B803" s="168"/>
      <c r="C803" s="28"/>
      <c r="D803" s="29"/>
      <c r="E803" s="29"/>
    </row>
    <row r="804" spans="1:5" x14ac:dyDescent="0.25">
      <c r="A804" s="21"/>
      <c r="B804" s="168"/>
      <c r="C804" s="28"/>
      <c r="D804" s="29"/>
      <c r="E804" s="29"/>
    </row>
    <row r="805" spans="1:5" x14ac:dyDescent="0.25">
      <c r="A805" s="21"/>
      <c r="B805" s="168"/>
      <c r="C805" s="28"/>
      <c r="D805" s="29"/>
      <c r="E805" s="29"/>
    </row>
    <row r="806" spans="1:5" x14ac:dyDescent="0.25">
      <c r="A806" s="21"/>
      <c r="B806" s="168"/>
      <c r="C806" s="28"/>
      <c r="D806" s="29"/>
      <c r="E806" s="29"/>
    </row>
    <row r="807" spans="1:5" x14ac:dyDescent="0.25">
      <c r="A807" s="21"/>
      <c r="B807" s="168"/>
      <c r="C807" s="28"/>
      <c r="D807" s="29"/>
      <c r="E807" s="29"/>
    </row>
    <row r="808" spans="1:5" x14ac:dyDescent="0.25">
      <c r="A808" s="21"/>
      <c r="B808" s="168"/>
      <c r="C808" s="28"/>
      <c r="D808" s="29"/>
      <c r="E808" s="29"/>
    </row>
    <row r="809" spans="1:5" x14ac:dyDescent="0.25">
      <c r="A809" s="21"/>
      <c r="B809" s="168"/>
      <c r="C809" s="28"/>
      <c r="D809" s="29"/>
      <c r="E809" s="29"/>
    </row>
    <row r="810" spans="1:5" x14ac:dyDescent="0.25">
      <c r="A810" s="21"/>
      <c r="B810" s="168"/>
      <c r="C810" s="28"/>
      <c r="D810" s="29"/>
      <c r="E810" s="29"/>
    </row>
    <row r="811" spans="1:5" x14ac:dyDescent="0.25">
      <c r="A811" s="21"/>
      <c r="B811" s="168"/>
      <c r="C811" s="28"/>
      <c r="D811" s="29"/>
      <c r="E811" s="29"/>
    </row>
    <row r="812" spans="1:5" x14ac:dyDescent="0.25">
      <c r="A812" s="21"/>
      <c r="B812" s="168"/>
      <c r="C812" s="28"/>
      <c r="D812" s="29"/>
      <c r="E812" s="29"/>
    </row>
    <row r="813" spans="1:5" x14ac:dyDescent="0.25">
      <c r="A813" s="21"/>
      <c r="B813" s="168"/>
      <c r="C813" s="28"/>
      <c r="D813" s="29"/>
      <c r="E813" s="29"/>
    </row>
    <row r="814" spans="1:5" x14ac:dyDescent="0.25">
      <c r="A814" s="21"/>
      <c r="B814" s="168"/>
      <c r="C814" s="28"/>
      <c r="D814" s="29"/>
      <c r="E814" s="29"/>
    </row>
    <row r="815" spans="1:5" x14ac:dyDescent="0.25">
      <c r="A815" s="21"/>
      <c r="B815" s="168"/>
      <c r="C815" s="28"/>
      <c r="D815" s="29"/>
      <c r="E815" s="29"/>
    </row>
    <row r="816" spans="1:5" x14ac:dyDescent="0.25">
      <c r="A816" s="21"/>
      <c r="B816" s="168"/>
      <c r="C816" s="28"/>
      <c r="D816" s="29"/>
      <c r="E816" s="29"/>
    </row>
    <row r="817" spans="1:5" x14ac:dyDescent="0.25">
      <c r="A817" s="21"/>
      <c r="B817" s="168"/>
      <c r="C817" s="28"/>
      <c r="D817" s="29"/>
      <c r="E817" s="29"/>
    </row>
    <row r="818" spans="1:5" x14ac:dyDescent="0.25">
      <c r="A818" s="21"/>
      <c r="B818" s="168"/>
      <c r="C818" s="28"/>
      <c r="D818" s="29"/>
      <c r="E818" s="29"/>
    </row>
    <row r="819" spans="1:5" x14ac:dyDescent="0.25">
      <c r="A819" s="21"/>
      <c r="B819" s="168"/>
      <c r="C819" s="28"/>
      <c r="D819" s="29"/>
      <c r="E819" s="29"/>
    </row>
    <row r="820" spans="1:5" x14ac:dyDescent="0.25">
      <c r="A820" s="21"/>
      <c r="B820" s="168"/>
      <c r="C820" s="28"/>
      <c r="D820" s="29"/>
      <c r="E820" s="29"/>
    </row>
    <row r="821" spans="1:5" x14ac:dyDescent="0.25">
      <c r="A821" s="21"/>
      <c r="B821" s="168"/>
      <c r="C821" s="28"/>
      <c r="D821" s="29"/>
      <c r="E821" s="29"/>
    </row>
    <row r="822" spans="1:5" x14ac:dyDescent="0.25">
      <c r="A822" s="21"/>
      <c r="B822" s="168"/>
      <c r="C822" s="28"/>
      <c r="D822" s="29"/>
      <c r="E822" s="29"/>
    </row>
    <row r="823" spans="1:5" x14ac:dyDescent="0.25">
      <c r="A823" s="21"/>
      <c r="B823" s="168"/>
      <c r="C823" s="28"/>
      <c r="D823" s="29"/>
      <c r="E823" s="29"/>
    </row>
    <row r="824" spans="1:5" x14ac:dyDescent="0.25">
      <c r="A824" s="21"/>
      <c r="B824" s="168"/>
      <c r="C824" s="28"/>
      <c r="D824" s="29"/>
      <c r="E824" s="29"/>
    </row>
    <row r="825" spans="1:5" x14ac:dyDescent="0.25">
      <c r="A825" s="21"/>
      <c r="B825" s="168"/>
      <c r="C825" s="28"/>
      <c r="D825" s="29"/>
      <c r="E825" s="29"/>
    </row>
    <row r="826" spans="1:5" x14ac:dyDescent="0.25">
      <c r="A826" s="21"/>
      <c r="B826" s="168"/>
      <c r="C826" s="28"/>
      <c r="D826" s="29"/>
      <c r="E826" s="29"/>
    </row>
    <row r="827" spans="1:5" x14ac:dyDescent="0.25">
      <c r="A827" s="21"/>
      <c r="B827" s="168"/>
      <c r="C827" s="28"/>
      <c r="D827" s="29"/>
      <c r="E827" s="29"/>
    </row>
    <row r="828" spans="1:5" x14ac:dyDescent="0.25">
      <c r="A828" s="21"/>
      <c r="B828" s="168"/>
      <c r="C828" s="28"/>
      <c r="D828" s="29"/>
      <c r="E828" s="29"/>
    </row>
    <row r="829" spans="1:5" x14ac:dyDescent="0.25">
      <c r="A829" s="21"/>
      <c r="B829" s="168"/>
      <c r="C829" s="28"/>
      <c r="D829" s="29"/>
      <c r="E829" s="29"/>
    </row>
    <row r="830" spans="1:5" x14ac:dyDescent="0.25">
      <c r="A830" s="21"/>
      <c r="B830" s="168"/>
      <c r="C830" s="28"/>
      <c r="D830" s="29"/>
      <c r="E830" s="29"/>
    </row>
    <row r="831" spans="1:5" x14ac:dyDescent="0.25">
      <c r="A831" s="21"/>
      <c r="B831" s="168"/>
      <c r="C831" s="28"/>
      <c r="D831" s="29"/>
      <c r="E831" s="29"/>
    </row>
    <row r="832" spans="1:5" x14ac:dyDescent="0.25">
      <c r="A832" s="21"/>
      <c r="B832" s="168"/>
      <c r="C832" s="28"/>
      <c r="D832" s="29"/>
      <c r="E832" s="29"/>
    </row>
    <row r="833" spans="1:5" x14ac:dyDescent="0.25">
      <c r="A833" s="21"/>
      <c r="B833" s="168"/>
      <c r="C833" s="28"/>
      <c r="D833" s="29"/>
      <c r="E833" s="29"/>
    </row>
    <row r="834" spans="1:5" x14ac:dyDescent="0.25">
      <c r="A834" s="21"/>
      <c r="B834" s="168"/>
      <c r="C834" s="28"/>
      <c r="D834" s="29"/>
      <c r="E834" s="29"/>
    </row>
    <row r="835" spans="1:5" x14ac:dyDescent="0.25">
      <c r="A835" s="21"/>
      <c r="B835" s="168"/>
      <c r="C835" s="28"/>
      <c r="D835" s="29"/>
      <c r="E835" s="29"/>
    </row>
    <row r="836" spans="1:5" x14ac:dyDescent="0.25">
      <c r="A836" s="21"/>
      <c r="B836" s="168"/>
      <c r="C836" s="28"/>
      <c r="D836" s="29"/>
      <c r="E836" s="29"/>
    </row>
    <row r="837" spans="1:5" x14ac:dyDescent="0.25">
      <c r="A837" s="21"/>
      <c r="B837" s="168"/>
      <c r="C837" s="28"/>
      <c r="D837" s="29"/>
      <c r="E837" s="29"/>
    </row>
    <row r="838" spans="1:5" x14ac:dyDescent="0.25">
      <c r="A838" s="21"/>
      <c r="B838" s="168"/>
      <c r="C838" s="28"/>
      <c r="D838" s="29"/>
      <c r="E838" s="29"/>
    </row>
    <row r="839" spans="1:5" x14ac:dyDescent="0.25">
      <c r="A839" s="21"/>
      <c r="B839" s="168"/>
      <c r="C839" s="28"/>
      <c r="D839" s="29"/>
      <c r="E839" s="29"/>
    </row>
    <row r="840" spans="1:5" x14ac:dyDescent="0.25">
      <c r="A840" s="21"/>
      <c r="B840" s="168"/>
      <c r="C840" s="28"/>
      <c r="D840" s="29"/>
      <c r="E840" s="29"/>
    </row>
    <row r="841" spans="1:5" x14ac:dyDescent="0.25">
      <c r="A841" s="21"/>
      <c r="B841" s="168"/>
      <c r="C841" s="28"/>
      <c r="D841" s="29"/>
      <c r="E841" s="29"/>
    </row>
    <row r="842" spans="1:5" x14ac:dyDescent="0.25">
      <c r="A842" s="21"/>
      <c r="B842" s="168"/>
      <c r="C842" s="28"/>
      <c r="D842" s="29"/>
      <c r="E842" s="29"/>
    </row>
    <row r="843" spans="1:5" x14ac:dyDescent="0.25">
      <c r="A843" s="21"/>
      <c r="B843" s="168"/>
      <c r="C843" s="28"/>
      <c r="D843" s="29"/>
      <c r="E843" s="29"/>
    </row>
    <row r="844" spans="1:5" x14ac:dyDescent="0.25">
      <c r="A844" s="21"/>
      <c r="B844" s="168"/>
      <c r="C844" s="28"/>
      <c r="D844" s="29"/>
      <c r="E844" s="29"/>
    </row>
    <row r="845" spans="1:5" x14ac:dyDescent="0.25">
      <c r="A845" s="21"/>
      <c r="B845" s="168"/>
      <c r="C845" s="28"/>
      <c r="D845" s="29"/>
      <c r="E845" s="29"/>
    </row>
    <row r="846" spans="1:5" x14ac:dyDescent="0.25">
      <c r="A846" s="21"/>
      <c r="B846" s="168"/>
      <c r="C846" s="28"/>
      <c r="D846" s="29"/>
      <c r="E846" s="29"/>
    </row>
    <row r="847" spans="1:5" x14ac:dyDescent="0.25">
      <c r="A847" s="21"/>
      <c r="B847" s="168"/>
      <c r="C847" s="28"/>
      <c r="D847" s="29"/>
      <c r="E847" s="29"/>
    </row>
    <row r="848" spans="1:5" x14ac:dyDescent="0.25">
      <c r="A848" s="21"/>
      <c r="B848" s="168"/>
      <c r="C848" s="28"/>
      <c r="D848" s="29"/>
      <c r="E848" s="29"/>
    </row>
    <row r="849" spans="1:5" x14ac:dyDescent="0.25">
      <c r="A849" s="21"/>
      <c r="B849" s="168"/>
      <c r="C849" s="28"/>
      <c r="D849" s="29"/>
      <c r="E849" s="29"/>
    </row>
    <row r="850" spans="1:5" x14ac:dyDescent="0.25">
      <c r="A850" s="21"/>
      <c r="B850" s="168"/>
      <c r="C850" s="28"/>
      <c r="D850" s="29"/>
      <c r="E850" s="29"/>
    </row>
    <row r="851" spans="1:5" x14ac:dyDescent="0.25">
      <c r="A851" s="21"/>
      <c r="B851" s="168"/>
      <c r="C851" s="28"/>
      <c r="D851" s="29"/>
      <c r="E851" s="29"/>
    </row>
    <row r="852" spans="1:5" x14ac:dyDescent="0.25">
      <c r="A852" s="21"/>
      <c r="B852" s="168"/>
      <c r="C852" s="28"/>
      <c r="D852" s="29"/>
      <c r="E852" s="29"/>
    </row>
    <row r="853" spans="1:5" x14ac:dyDescent="0.25">
      <c r="A853" s="21"/>
      <c r="B853" s="168"/>
      <c r="C853" s="28"/>
      <c r="D853" s="29"/>
      <c r="E853" s="29"/>
    </row>
    <row r="854" spans="1:5" x14ac:dyDescent="0.25">
      <c r="A854" s="21"/>
      <c r="B854" s="168"/>
      <c r="C854" s="28"/>
      <c r="D854" s="29"/>
      <c r="E854" s="29"/>
    </row>
    <row r="855" spans="1:5" x14ac:dyDescent="0.25">
      <c r="A855" s="21"/>
      <c r="B855" s="168"/>
      <c r="C855" s="28"/>
      <c r="D855" s="29"/>
      <c r="E855" s="29"/>
    </row>
    <row r="856" spans="1:5" x14ac:dyDescent="0.25">
      <c r="A856" s="21"/>
      <c r="B856" s="168"/>
      <c r="C856" s="28"/>
      <c r="D856" s="29"/>
      <c r="E856" s="29"/>
    </row>
    <row r="857" spans="1:5" x14ac:dyDescent="0.25">
      <c r="A857" s="21"/>
      <c r="B857" s="168"/>
      <c r="C857" s="28"/>
      <c r="D857" s="29"/>
      <c r="E857" s="29"/>
    </row>
    <row r="858" spans="1:5" x14ac:dyDescent="0.25">
      <c r="A858" s="21"/>
      <c r="B858" s="168"/>
      <c r="C858" s="28"/>
      <c r="D858" s="29"/>
      <c r="E858" s="29"/>
    </row>
    <row r="859" spans="1:5" x14ac:dyDescent="0.25">
      <c r="A859" s="21"/>
      <c r="B859" s="168"/>
      <c r="C859" s="28"/>
      <c r="D859" s="29"/>
      <c r="E859" s="29"/>
    </row>
    <row r="860" spans="1:5" x14ac:dyDescent="0.25">
      <c r="A860" s="21"/>
      <c r="B860" s="168"/>
      <c r="C860" s="28"/>
      <c r="D860" s="29"/>
      <c r="E860" s="29"/>
    </row>
    <row r="861" spans="1:5" x14ac:dyDescent="0.25">
      <c r="A861" s="21"/>
      <c r="B861" s="168"/>
      <c r="C861" s="28"/>
      <c r="D861" s="29"/>
      <c r="E861" s="29"/>
    </row>
    <row r="862" spans="1:5" x14ac:dyDescent="0.25">
      <c r="A862" s="21"/>
      <c r="B862" s="168"/>
      <c r="C862" s="28"/>
      <c r="D862" s="29"/>
      <c r="E862" s="29"/>
    </row>
    <row r="863" spans="1:5" x14ac:dyDescent="0.25">
      <c r="A863" s="21"/>
      <c r="B863" s="168"/>
      <c r="C863" s="28"/>
      <c r="D863" s="29"/>
      <c r="E863" s="29"/>
    </row>
    <row r="864" spans="1:5" x14ac:dyDescent="0.25">
      <c r="A864" s="21"/>
      <c r="B864" s="168"/>
      <c r="C864" s="28"/>
      <c r="D864" s="29"/>
      <c r="E864" s="29"/>
    </row>
    <row r="865" spans="1:5" x14ac:dyDescent="0.25">
      <c r="A865" s="21"/>
      <c r="B865" s="168"/>
      <c r="C865" s="28"/>
      <c r="D865" s="29"/>
      <c r="E865" s="29"/>
    </row>
    <row r="866" spans="1:5" x14ac:dyDescent="0.25">
      <c r="A866" s="21"/>
      <c r="B866" s="168"/>
      <c r="C866" s="28"/>
      <c r="D866" s="29"/>
      <c r="E866" s="29"/>
    </row>
    <row r="867" spans="1:5" x14ac:dyDescent="0.25">
      <c r="A867" s="21"/>
      <c r="B867" s="168"/>
      <c r="C867" s="28"/>
      <c r="D867" s="29"/>
      <c r="E867" s="29"/>
    </row>
    <row r="868" spans="1:5" x14ac:dyDescent="0.25">
      <c r="A868" s="21"/>
      <c r="B868" s="168"/>
      <c r="C868" s="28"/>
      <c r="D868" s="29"/>
      <c r="E868" s="29"/>
    </row>
    <row r="869" spans="1:5" x14ac:dyDescent="0.25">
      <c r="A869" s="21"/>
      <c r="B869" s="168"/>
      <c r="C869" s="28"/>
      <c r="D869" s="29"/>
      <c r="E869" s="29"/>
    </row>
    <row r="870" spans="1:5" x14ac:dyDescent="0.25">
      <c r="A870" s="21"/>
      <c r="B870" s="168"/>
      <c r="C870" s="28"/>
      <c r="D870" s="29"/>
      <c r="E870" s="29"/>
    </row>
    <row r="871" spans="1:5" x14ac:dyDescent="0.25">
      <c r="A871" s="21"/>
      <c r="B871" s="168"/>
      <c r="C871" s="28"/>
      <c r="D871" s="29"/>
      <c r="E871" s="29"/>
    </row>
    <row r="872" spans="1:5" x14ac:dyDescent="0.25">
      <c r="A872" s="21"/>
      <c r="B872" s="168"/>
      <c r="C872" s="28"/>
      <c r="D872" s="29"/>
      <c r="E872" s="29"/>
    </row>
    <row r="873" spans="1:5" x14ac:dyDescent="0.25">
      <c r="A873" s="21"/>
      <c r="B873" s="168"/>
      <c r="C873" s="28"/>
      <c r="D873" s="29"/>
      <c r="E873" s="29"/>
    </row>
    <row r="874" spans="1:5" x14ac:dyDescent="0.25">
      <c r="A874" s="21"/>
      <c r="B874" s="168"/>
      <c r="C874" s="28"/>
      <c r="D874" s="29"/>
      <c r="E874" s="29"/>
    </row>
    <row r="875" spans="1:5" x14ac:dyDescent="0.25">
      <c r="A875" s="21"/>
      <c r="B875" s="168"/>
      <c r="C875" s="28"/>
      <c r="D875" s="29"/>
      <c r="E875" s="29"/>
    </row>
    <row r="876" spans="1:5" x14ac:dyDescent="0.25">
      <c r="A876" s="21"/>
      <c r="B876" s="168"/>
      <c r="C876" s="28"/>
      <c r="D876" s="29"/>
      <c r="E876" s="29"/>
    </row>
    <row r="877" spans="1:5" x14ac:dyDescent="0.25">
      <c r="A877" s="21"/>
      <c r="B877" s="168"/>
      <c r="C877" s="28"/>
      <c r="D877" s="29"/>
      <c r="E877" s="29"/>
    </row>
    <row r="878" spans="1:5" x14ac:dyDescent="0.25">
      <c r="A878" s="21"/>
      <c r="B878" s="168"/>
      <c r="C878" s="28"/>
      <c r="D878" s="29"/>
      <c r="E878" s="29"/>
    </row>
    <row r="879" spans="1:5" x14ac:dyDescent="0.25">
      <c r="A879" s="21"/>
      <c r="B879" s="168"/>
      <c r="C879" s="28"/>
      <c r="D879" s="29"/>
      <c r="E879" s="29"/>
    </row>
    <row r="880" spans="1:5" x14ac:dyDescent="0.25">
      <c r="A880" s="21"/>
      <c r="B880" s="168"/>
      <c r="C880" s="28"/>
      <c r="D880" s="29"/>
      <c r="E880" s="29"/>
    </row>
    <row r="881" spans="1:5" x14ac:dyDescent="0.25">
      <c r="A881" s="21"/>
      <c r="B881" s="168"/>
      <c r="C881" s="28"/>
      <c r="D881" s="29"/>
      <c r="E881" s="29"/>
    </row>
    <row r="882" spans="1:5" x14ac:dyDescent="0.25">
      <c r="A882" s="21"/>
      <c r="B882" s="168"/>
      <c r="C882" s="28"/>
      <c r="D882" s="29"/>
      <c r="E882" s="29"/>
    </row>
    <row r="883" spans="1:5" x14ac:dyDescent="0.25">
      <c r="A883" s="21"/>
      <c r="B883" s="168"/>
      <c r="C883" s="28"/>
      <c r="D883" s="29"/>
      <c r="E883" s="29"/>
    </row>
    <row r="884" spans="1:5" x14ac:dyDescent="0.25">
      <c r="A884" s="21"/>
      <c r="B884" s="168"/>
      <c r="C884" s="28"/>
      <c r="D884" s="29"/>
      <c r="E884" s="29"/>
    </row>
    <row r="885" spans="1:5" x14ac:dyDescent="0.25">
      <c r="A885" s="21"/>
      <c r="B885" s="168"/>
      <c r="C885" s="28"/>
      <c r="D885" s="29"/>
      <c r="E885" s="29"/>
    </row>
    <row r="886" spans="1:5" x14ac:dyDescent="0.25">
      <c r="A886" s="21"/>
      <c r="B886" s="168"/>
      <c r="C886" s="28"/>
      <c r="D886" s="29"/>
      <c r="E886" s="29"/>
    </row>
    <row r="887" spans="1:5" x14ac:dyDescent="0.25">
      <c r="A887" s="21"/>
      <c r="B887" s="168"/>
      <c r="C887" s="28"/>
      <c r="D887" s="29"/>
      <c r="E887" s="29"/>
    </row>
    <row r="888" spans="1:5" x14ac:dyDescent="0.25">
      <c r="A888" s="21"/>
      <c r="B888" s="168"/>
      <c r="C888" s="28"/>
      <c r="D888" s="29"/>
      <c r="E888" s="29"/>
    </row>
    <row r="889" spans="1:5" x14ac:dyDescent="0.25">
      <c r="A889" s="21"/>
      <c r="B889" s="168"/>
      <c r="C889" s="28"/>
      <c r="D889" s="29"/>
      <c r="E889" s="29"/>
    </row>
    <row r="890" spans="1:5" x14ac:dyDescent="0.25">
      <c r="A890" s="21"/>
      <c r="B890" s="168"/>
      <c r="C890" s="28"/>
      <c r="D890" s="29"/>
      <c r="E890" s="29"/>
    </row>
    <row r="891" spans="1:5" x14ac:dyDescent="0.25">
      <c r="A891" s="21"/>
      <c r="B891" s="168"/>
      <c r="C891" s="28"/>
      <c r="D891" s="29"/>
      <c r="E891" s="29"/>
    </row>
    <row r="892" spans="1:5" x14ac:dyDescent="0.25">
      <c r="A892" s="21"/>
      <c r="B892" s="168"/>
      <c r="C892" s="28"/>
      <c r="D892" s="29"/>
      <c r="E892" s="29"/>
    </row>
    <row r="893" spans="1:5" x14ac:dyDescent="0.25">
      <c r="A893" s="21"/>
      <c r="B893" s="168"/>
      <c r="C893" s="28"/>
      <c r="D893" s="29"/>
      <c r="E893" s="29"/>
    </row>
    <row r="894" spans="1:5" x14ac:dyDescent="0.25">
      <c r="A894" s="21"/>
      <c r="B894" s="168"/>
      <c r="C894" s="28"/>
      <c r="D894" s="29"/>
      <c r="E894" s="29"/>
    </row>
    <row r="895" spans="1:5" x14ac:dyDescent="0.25">
      <c r="A895" s="21"/>
      <c r="B895" s="168"/>
      <c r="C895" s="28"/>
      <c r="D895" s="29"/>
      <c r="E895" s="29"/>
    </row>
    <row r="896" spans="1:5" x14ac:dyDescent="0.25">
      <c r="A896" s="21"/>
      <c r="B896" s="168"/>
      <c r="C896" s="28"/>
      <c r="D896" s="29"/>
      <c r="E896" s="29"/>
    </row>
    <row r="897" spans="1:5" x14ac:dyDescent="0.25">
      <c r="A897" s="21"/>
      <c r="B897" s="168"/>
      <c r="C897" s="28"/>
      <c r="D897" s="29"/>
      <c r="E897" s="29"/>
    </row>
    <row r="898" spans="1:5" x14ac:dyDescent="0.25">
      <c r="A898" s="21"/>
      <c r="B898" s="168"/>
      <c r="C898" s="28"/>
      <c r="D898" s="29"/>
      <c r="E898" s="29"/>
    </row>
    <row r="899" spans="1:5" x14ac:dyDescent="0.25">
      <c r="A899" s="21"/>
      <c r="B899" s="168"/>
      <c r="C899" s="28"/>
      <c r="D899" s="29"/>
      <c r="E899" s="29"/>
    </row>
    <row r="900" spans="1:5" x14ac:dyDescent="0.25">
      <c r="A900" s="21"/>
      <c r="B900" s="168"/>
      <c r="C900" s="28"/>
      <c r="D900" s="29"/>
      <c r="E900" s="29"/>
    </row>
    <row r="901" spans="1:5" x14ac:dyDescent="0.25">
      <c r="A901" s="21"/>
      <c r="B901" s="168"/>
      <c r="C901" s="28"/>
      <c r="D901" s="29"/>
      <c r="E901" s="29"/>
    </row>
    <row r="902" spans="1:5" x14ac:dyDescent="0.25">
      <c r="A902" s="21"/>
      <c r="B902" s="168"/>
      <c r="C902" s="28"/>
      <c r="D902" s="29"/>
      <c r="E902" s="29"/>
    </row>
    <row r="903" spans="1:5" x14ac:dyDescent="0.25">
      <c r="A903" s="21"/>
      <c r="B903" s="168"/>
      <c r="C903" s="28"/>
      <c r="D903" s="29"/>
      <c r="E903" s="29"/>
    </row>
    <row r="904" spans="1:5" x14ac:dyDescent="0.25">
      <c r="A904" s="21"/>
      <c r="B904" s="168"/>
      <c r="C904" s="28"/>
      <c r="D904" s="29"/>
      <c r="E904" s="29"/>
    </row>
    <row r="905" spans="1:5" x14ac:dyDescent="0.25">
      <c r="A905" s="21"/>
      <c r="B905" s="168"/>
      <c r="C905" s="28"/>
      <c r="D905" s="29"/>
      <c r="E905" s="29"/>
    </row>
    <row r="906" spans="1:5" x14ac:dyDescent="0.25">
      <c r="A906" s="21"/>
      <c r="B906" s="168"/>
      <c r="C906" s="28"/>
      <c r="D906" s="29"/>
      <c r="E906" s="29"/>
    </row>
    <row r="907" spans="1:5" x14ac:dyDescent="0.25">
      <c r="A907" s="21"/>
      <c r="B907" s="168"/>
      <c r="C907" s="28"/>
      <c r="D907" s="29"/>
      <c r="E907" s="29"/>
    </row>
    <row r="908" spans="1:5" x14ac:dyDescent="0.25">
      <c r="A908" s="21"/>
      <c r="B908" s="168"/>
      <c r="C908" s="28"/>
      <c r="D908" s="29"/>
      <c r="E908" s="29"/>
    </row>
    <row r="909" spans="1:5" x14ac:dyDescent="0.25">
      <c r="A909" s="21"/>
      <c r="B909" s="168"/>
      <c r="C909" s="28"/>
      <c r="D909" s="29"/>
      <c r="E909" s="29"/>
    </row>
    <row r="910" spans="1:5" x14ac:dyDescent="0.25">
      <c r="A910" s="21"/>
      <c r="B910" s="168"/>
      <c r="C910" s="28"/>
      <c r="D910" s="29"/>
      <c r="E910" s="29"/>
    </row>
    <row r="911" spans="1:5" x14ac:dyDescent="0.25">
      <c r="A911" s="21"/>
      <c r="B911" s="168"/>
      <c r="C911" s="28"/>
      <c r="D911" s="29"/>
      <c r="E911" s="29"/>
    </row>
    <row r="912" spans="1:5" x14ac:dyDescent="0.25">
      <c r="A912" s="21"/>
      <c r="B912" s="168"/>
      <c r="C912" s="28"/>
      <c r="D912" s="29"/>
      <c r="E912" s="29"/>
    </row>
    <row r="913" spans="1:5" x14ac:dyDescent="0.25">
      <c r="A913" s="21"/>
      <c r="B913" s="168"/>
      <c r="C913" s="28"/>
      <c r="D913" s="29"/>
      <c r="E913" s="29"/>
    </row>
    <row r="914" spans="1:5" x14ac:dyDescent="0.25">
      <c r="A914" s="21"/>
      <c r="B914" s="168"/>
      <c r="C914" s="28"/>
      <c r="D914" s="29"/>
      <c r="E914" s="29"/>
    </row>
    <row r="915" spans="1:5" x14ac:dyDescent="0.25">
      <c r="A915" s="21"/>
      <c r="B915" s="168"/>
      <c r="C915" s="28"/>
      <c r="D915" s="29"/>
      <c r="E915" s="29"/>
    </row>
    <row r="916" spans="1:5" x14ac:dyDescent="0.25">
      <c r="A916" s="21"/>
      <c r="B916" s="168"/>
      <c r="C916" s="28"/>
      <c r="D916" s="29"/>
      <c r="E916" s="29"/>
    </row>
    <row r="917" spans="1:5" x14ac:dyDescent="0.25">
      <c r="A917" s="21"/>
      <c r="B917" s="168"/>
      <c r="C917" s="28"/>
      <c r="D917" s="29"/>
      <c r="E917" s="29"/>
    </row>
    <row r="918" spans="1:5" x14ac:dyDescent="0.25">
      <c r="A918" s="21"/>
      <c r="B918" s="168"/>
      <c r="C918" s="28"/>
      <c r="D918" s="29"/>
      <c r="E918" s="29"/>
    </row>
    <row r="919" spans="1:5" x14ac:dyDescent="0.25">
      <c r="A919" s="21"/>
      <c r="B919" s="168"/>
      <c r="C919" s="28"/>
      <c r="D919" s="29"/>
      <c r="E919" s="29"/>
    </row>
    <row r="920" spans="1:5" x14ac:dyDescent="0.25">
      <c r="A920" s="21"/>
      <c r="B920" s="168"/>
      <c r="C920" s="28"/>
      <c r="D920" s="29"/>
      <c r="E920" s="29"/>
    </row>
    <row r="921" spans="1:5" x14ac:dyDescent="0.25">
      <c r="A921" s="21"/>
      <c r="B921" s="168"/>
      <c r="C921" s="28"/>
      <c r="D921" s="29"/>
      <c r="E921" s="29"/>
    </row>
    <row r="922" spans="1:5" x14ac:dyDescent="0.25">
      <c r="A922" s="21"/>
      <c r="B922" s="168"/>
      <c r="C922" s="28"/>
      <c r="D922" s="29"/>
      <c r="E922" s="29"/>
    </row>
    <row r="923" spans="1:5" x14ac:dyDescent="0.25">
      <c r="A923" s="21"/>
      <c r="B923" s="168"/>
      <c r="C923" s="28"/>
      <c r="D923" s="29"/>
      <c r="E923" s="29"/>
    </row>
    <row r="924" spans="1:5" x14ac:dyDescent="0.25">
      <c r="A924" s="21"/>
      <c r="B924" s="168"/>
      <c r="C924" s="28"/>
      <c r="D924" s="29"/>
      <c r="E924" s="29"/>
    </row>
    <row r="925" spans="1:5" x14ac:dyDescent="0.25">
      <c r="A925" s="21"/>
      <c r="B925" s="168"/>
      <c r="C925" s="28"/>
      <c r="D925" s="29"/>
      <c r="E925" s="29"/>
    </row>
    <row r="926" spans="1:5" x14ac:dyDescent="0.25">
      <c r="A926" s="21"/>
      <c r="B926" s="168"/>
      <c r="C926" s="28"/>
      <c r="D926" s="29"/>
      <c r="E926" s="29"/>
    </row>
    <row r="927" spans="1:5" x14ac:dyDescent="0.25">
      <c r="A927" s="21"/>
      <c r="B927" s="168"/>
      <c r="C927" s="28"/>
      <c r="D927" s="29"/>
      <c r="E927" s="29"/>
    </row>
    <row r="928" spans="1:5" x14ac:dyDescent="0.25">
      <c r="A928" s="21"/>
      <c r="B928" s="168"/>
      <c r="C928" s="28"/>
      <c r="D928" s="29"/>
      <c r="E928" s="29"/>
    </row>
    <row r="929" spans="1:5" x14ac:dyDescent="0.25">
      <c r="A929" s="21"/>
      <c r="B929" s="168"/>
      <c r="C929" s="28"/>
      <c r="D929" s="29"/>
      <c r="E929" s="29"/>
    </row>
    <row r="930" spans="1:5" x14ac:dyDescent="0.25">
      <c r="A930" s="21"/>
      <c r="B930" s="168"/>
      <c r="C930" s="28"/>
      <c r="D930" s="29"/>
      <c r="E930" s="29"/>
    </row>
    <row r="931" spans="1:5" x14ac:dyDescent="0.25">
      <c r="A931" s="21"/>
      <c r="B931" s="168"/>
      <c r="C931" s="28"/>
      <c r="D931" s="29"/>
      <c r="E931" s="29"/>
    </row>
    <row r="932" spans="1:5" x14ac:dyDescent="0.25">
      <c r="A932" s="21"/>
      <c r="B932" s="168"/>
      <c r="C932" s="28"/>
      <c r="D932" s="29"/>
      <c r="E932" s="29"/>
    </row>
    <row r="933" spans="1:5" x14ac:dyDescent="0.25">
      <c r="A933" s="21"/>
      <c r="B933" s="168"/>
      <c r="C933" s="28"/>
      <c r="D933" s="29"/>
      <c r="E933" s="29"/>
    </row>
    <row r="934" spans="1:5" x14ac:dyDescent="0.25">
      <c r="A934" s="21"/>
      <c r="B934" s="168"/>
      <c r="C934" s="28"/>
      <c r="D934" s="29"/>
      <c r="E934" s="29"/>
    </row>
    <row r="935" spans="1:5" x14ac:dyDescent="0.25">
      <c r="A935" s="21"/>
      <c r="B935" s="168"/>
      <c r="C935" s="28"/>
      <c r="D935" s="29"/>
      <c r="E935" s="29"/>
    </row>
    <row r="936" spans="1:5" x14ac:dyDescent="0.25">
      <c r="A936" s="21"/>
      <c r="B936" s="168"/>
      <c r="C936" s="28"/>
      <c r="D936" s="29"/>
      <c r="E936" s="29"/>
    </row>
    <row r="937" spans="1:5" x14ac:dyDescent="0.25">
      <c r="A937" s="21"/>
      <c r="B937" s="168"/>
      <c r="C937" s="28"/>
      <c r="D937" s="29"/>
      <c r="E937" s="29"/>
    </row>
    <row r="938" spans="1:5" x14ac:dyDescent="0.25">
      <c r="A938" s="21"/>
      <c r="B938" s="168"/>
      <c r="C938" s="28"/>
      <c r="D938" s="29"/>
      <c r="E938" s="29"/>
    </row>
    <row r="939" spans="1:5" x14ac:dyDescent="0.25">
      <c r="A939" s="21"/>
      <c r="B939" s="168"/>
      <c r="C939" s="28"/>
      <c r="D939" s="29"/>
      <c r="E939" s="29"/>
    </row>
    <row r="940" spans="1:5" x14ac:dyDescent="0.25">
      <c r="A940" s="21"/>
      <c r="B940" s="168"/>
      <c r="C940" s="28"/>
      <c r="D940" s="29"/>
      <c r="E940" s="29"/>
    </row>
    <row r="941" spans="1:5" x14ac:dyDescent="0.25">
      <c r="A941" s="21"/>
      <c r="B941" s="168"/>
      <c r="C941" s="28"/>
      <c r="D941" s="29"/>
      <c r="E941" s="29"/>
    </row>
    <row r="942" spans="1:5" x14ac:dyDescent="0.25">
      <c r="A942" s="21"/>
      <c r="B942" s="168"/>
      <c r="C942" s="28"/>
      <c r="D942" s="29"/>
      <c r="E942" s="29"/>
    </row>
    <row r="943" spans="1:5" x14ac:dyDescent="0.25">
      <c r="A943" s="21"/>
      <c r="B943" s="168"/>
      <c r="C943" s="28"/>
      <c r="D943" s="29"/>
      <c r="E943" s="29"/>
    </row>
    <row r="944" spans="1:5" x14ac:dyDescent="0.25">
      <c r="A944" s="21"/>
      <c r="B944" s="168"/>
      <c r="C944" s="28"/>
      <c r="D944" s="29"/>
      <c r="E944" s="29"/>
    </row>
    <row r="945" spans="1:5" x14ac:dyDescent="0.25">
      <c r="A945" s="21"/>
      <c r="B945" s="168"/>
      <c r="C945" s="28"/>
      <c r="D945" s="29"/>
      <c r="E945" s="29"/>
    </row>
    <row r="946" spans="1:5" x14ac:dyDescent="0.25">
      <c r="A946" s="21"/>
      <c r="B946" s="168"/>
      <c r="C946" s="28"/>
      <c r="D946" s="29"/>
      <c r="E946" s="29"/>
    </row>
    <row r="947" spans="1:5" x14ac:dyDescent="0.25">
      <c r="A947" s="21"/>
      <c r="B947" s="168"/>
      <c r="C947" s="28"/>
      <c r="D947" s="29"/>
      <c r="E947" s="29"/>
    </row>
    <row r="948" spans="1:5" x14ac:dyDescent="0.25">
      <c r="A948" s="21"/>
      <c r="B948" s="168"/>
      <c r="C948" s="28"/>
      <c r="D948" s="29"/>
      <c r="E948" s="29"/>
    </row>
    <row r="949" spans="1:5" x14ac:dyDescent="0.25">
      <c r="A949" s="21"/>
      <c r="B949" s="168"/>
      <c r="C949" s="28"/>
      <c r="D949" s="29"/>
      <c r="E949" s="29"/>
    </row>
    <row r="950" spans="1:5" x14ac:dyDescent="0.25">
      <c r="A950" s="21"/>
      <c r="B950" s="168"/>
      <c r="C950" s="28"/>
      <c r="D950" s="29"/>
      <c r="E950" s="29"/>
    </row>
    <row r="951" spans="1:5" x14ac:dyDescent="0.25">
      <c r="A951" s="21"/>
      <c r="B951" s="168"/>
      <c r="C951" s="28"/>
      <c r="D951" s="29"/>
      <c r="E951" s="29"/>
    </row>
    <row r="952" spans="1:5" x14ac:dyDescent="0.25">
      <c r="A952" s="21"/>
      <c r="B952" s="168"/>
      <c r="C952" s="28"/>
      <c r="D952" s="29"/>
      <c r="E952" s="29"/>
    </row>
    <row r="953" spans="1:5" x14ac:dyDescent="0.25">
      <c r="A953" s="21"/>
      <c r="B953" s="168"/>
      <c r="C953" s="28"/>
      <c r="D953" s="29"/>
      <c r="E953" s="29"/>
    </row>
    <row r="954" spans="1:5" x14ac:dyDescent="0.25">
      <c r="A954" s="21"/>
      <c r="B954" s="168"/>
      <c r="C954" s="28"/>
      <c r="D954" s="29"/>
      <c r="E954" s="29"/>
    </row>
    <row r="955" spans="1:5" x14ac:dyDescent="0.25">
      <c r="A955" s="21"/>
      <c r="B955" s="168"/>
      <c r="C955" s="28"/>
      <c r="D955" s="29"/>
      <c r="E955" s="29"/>
    </row>
    <row r="956" spans="1:5" x14ac:dyDescent="0.25">
      <c r="A956" s="21"/>
      <c r="B956" s="168"/>
      <c r="C956" s="28"/>
      <c r="D956" s="29"/>
      <c r="E956" s="29"/>
    </row>
    <row r="957" spans="1:5" x14ac:dyDescent="0.25">
      <c r="A957" s="21"/>
      <c r="B957" s="168"/>
      <c r="C957" s="28"/>
      <c r="D957" s="29"/>
      <c r="E957" s="29"/>
    </row>
    <row r="958" spans="1:5" x14ac:dyDescent="0.25">
      <c r="A958" s="21"/>
      <c r="B958" s="168"/>
      <c r="C958" s="28"/>
      <c r="D958" s="29"/>
      <c r="E958" s="29"/>
    </row>
    <row r="959" spans="1:5" x14ac:dyDescent="0.25">
      <c r="A959" s="21"/>
      <c r="B959" s="168"/>
      <c r="C959" s="28"/>
      <c r="D959" s="29"/>
      <c r="E959" s="29"/>
    </row>
    <row r="960" spans="1:5" x14ac:dyDescent="0.25">
      <c r="A960" s="21"/>
      <c r="B960" s="168"/>
      <c r="C960" s="28"/>
      <c r="D960" s="29"/>
      <c r="E960" s="29"/>
    </row>
    <row r="961" spans="1:5" x14ac:dyDescent="0.25">
      <c r="A961" s="21"/>
      <c r="B961" s="168"/>
      <c r="C961" s="28"/>
      <c r="D961" s="29"/>
      <c r="E961" s="29"/>
    </row>
    <row r="962" spans="1:5" x14ac:dyDescent="0.25">
      <c r="A962" s="21"/>
      <c r="B962" s="168"/>
      <c r="C962" s="28"/>
      <c r="D962" s="29"/>
      <c r="E962" s="29"/>
    </row>
    <row r="963" spans="1:5" x14ac:dyDescent="0.25">
      <c r="A963" s="21"/>
      <c r="B963" s="168"/>
      <c r="C963" s="28"/>
      <c r="D963" s="29"/>
      <c r="E963" s="29"/>
    </row>
    <row r="964" spans="1:5" x14ac:dyDescent="0.25">
      <c r="A964" s="21"/>
      <c r="B964" s="168"/>
      <c r="C964" s="28"/>
      <c r="D964" s="29"/>
      <c r="E964" s="29"/>
    </row>
    <row r="965" spans="1:5" x14ac:dyDescent="0.25">
      <c r="A965" s="21"/>
      <c r="B965" s="168"/>
      <c r="C965" s="28"/>
      <c r="D965" s="29"/>
      <c r="E965" s="29"/>
    </row>
    <row r="966" spans="1:5" x14ac:dyDescent="0.25">
      <c r="A966" s="21"/>
      <c r="B966" s="168"/>
      <c r="C966" s="28"/>
      <c r="D966" s="29"/>
      <c r="E966" s="29"/>
    </row>
    <row r="967" spans="1:5" x14ac:dyDescent="0.25">
      <c r="A967" s="21"/>
      <c r="B967" s="168"/>
      <c r="C967" s="28"/>
      <c r="D967" s="29"/>
      <c r="E967" s="29"/>
    </row>
    <row r="968" spans="1:5" x14ac:dyDescent="0.25">
      <c r="A968" s="21"/>
      <c r="B968" s="168"/>
      <c r="C968" s="28"/>
      <c r="D968" s="29"/>
      <c r="E968" s="29"/>
    </row>
    <row r="969" spans="1:5" x14ac:dyDescent="0.25">
      <c r="A969" s="21"/>
      <c r="B969" s="168"/>
      <c r="C969" s="28"/>
      <c r="D969" s="29"/>
      <c r="E969" s="29"/>
    </row>
    <row r="970" spans="1:5" x14ac:dyDescent="0.25">
      <c r="A970" s="21"/>
      <c r="B970" s="168"/>
      <c r="C970" s="28"/>
      <c r="D970" s="29"/>
      <c r="E970" s="29"/>
    </row>
    <row r="971" spans="1:5" x14ac:dyDescent="0.25">
      <c r="A971" s="21"/>
      <c r="B971" s="168"/>
      <c r="C971" s="28"/>
      <c r="D971" s="29"/>
      <c r="E971" s="29"/>
    </row>
    <row r="972" spans="1:5" x14ac:dyDescent="0.25">
      <c r="A972" s="21"/>
      <c r="B972" s="168"/>
      <c r="C972" s="28"/>
      <c r="D972" s="29"/>
      <c r="E972" s="29"/>
    </row>
    <row r="973" spans="1:5" x14ac:dyDescent="0.25">
      <c r="A973" s="21"/>
      <c r="B973" s="168"/>
      <c r="C973" s="28"/>
      <c r="D973" s="29"/>
      <c r="E973" s="29"/>
    </row>
    <row r="974" spans="1:5" x14ac:dyDescent="0.25">
      <c r="A974" s="21"/>
      <c r="B974" s="168"/>
      <c r="C974" s="28"/>
      <c r="D974" s="29"/>
      <c r="E974" s="29"/>
    </row>
    <row r="975" spans="1:5" x14ac:dyDescent="0.25">
      <c r="A975" s="21"/>
      <c r="B975" s="168"/>
      <c r="C975" s="28"/>
      <c r="D975" s="29"/>
      <c r="E975" s="29"/>
    </row>
    <row r="976" spans="1:5" x14ac:dyDescent="0.25">
      <c r="A976" s="21"/>
      <c r="B976" s="168"/>
      <c r="C976" s="28"/>
      <c r="D976" s="29"/>
      <c r="E976" s="29"/>
    </row>
    <row r="977" spans="1:5" x14ac:dyDescent="0.25">
      <c r="A977" s="21"/>
      <c r="B977" s="168"/>
      <c r="C977" s="28"/>
      <c r="D977" s="29"/>
      <c r="E977" s="29"/>
    </row>
    <row r="978" spans="1:5" x14ac:dyDescent="0.25">
      <c r="A978" s="21"/>
      <c r="B978" s="168"/>
      <c r="C978" s="28"/>
      <c r="D978" s="29"/>
      <c r="E978" s="29"/>
    </row>
    <row r="979" spans="1:5" x14ac:dyDescent="0.25">
      <c r="A979" s="21"/>
      <c r="B979" s="168"/>
      <c r="C979" s="28"/>
      <c r="D979" s="29"/>
      <c r="E979" s="29"/>
    </row>
    <row r="980" spans="1:5" x14ac:dyDescent="0.25">
      <c r="A980" s="21"/>
      <c r="B980" s="168"/>
      <c r="C980" s="28"/>
      <c r="D980" s="29"/>
      <c r="E980" s="29"/>
    </row>
    <row r="981" spans="1:5" x14ac:dyDescent="0.25">
      <c r="A981" s="21"/>
      <c r="B981" s="168"/>
      <c r="C981" s="28"/>
      <c r="D981" s="29"/>
      <c r="E981" s="29"/>
    </row>
    <row r="982" spans="1:5" x14ac:dyDescent="0.25">
      <c r="A982" s="21"/>
      <c r="B982" s="168"/>
      <c r="C982" s="28"/>
      <c r="D982" s="29"/>
      <c r="E982" s="29"/>
    </row>
    <row r="983" spans="1:5" x14ac:dyDescent="0.25">
      <c r="A983" s="21"/>
      <c r="B983" s="168"/>
      <c r="C983" s="28"/>
      <c r="D983" s="29"/>
      <c r="E983" s="29"/>
    </row>
    <row r="984" spans="1:5" x14ac:dyDescent="0.25">
      <c r="A984" s="21"/>
      <c r="B984" s="168"/>
      <c r="C984" s="28"/>
      <c r="D984" s="29"/>
      <c r="E984" s="29"/>
    </row>
    <row r="985" spans="1:5" x14ac:dyDescent="0.25">
      <c r="A985" s="21"/>
      <c r="B985" s="168"/>
      <c r="C985" s="28"/>
      <c r="D985" s="29"/>
      <c r="E985" s="29"/>
    </row>
    <row r="986" spans="1:5" x14ac:dyDescent="0.25">
      <c r="A986" s="21"/>
      <c r="B986" s="168"/>
      <c r="C986" s="28"/>
      <c r="D986" s="29"/>
      <c r="E986" s="29"/>
    </row>
    <row r="987" spans="1:5" x14ac:dyDescent="0.25">
      <c r="A987" s="21"/>
      <c r="B987" s="168"/>
      <c r="C987" s="28"/>
      <c r="D987" s="29"/>
      <c r="E987" s="29"/>
    </row>
    <row r="988" spans="1:5" x14ac:dyDescent="0.25">
      <c r="A988" s="21"/>
      <c r="B988" s="168"/>
      <c r="C988" s="28"/>
      <c r="D988" s="29"/>
      <c r="E988" s="29"/>
    </row>
    <row r="989" spans="1:5" x14ac:dyDescent="0.25">
      <c r="A989" s="21"/>
      <c r="B989" s="168"/>
      <c r="C989" s="28"/>
      <c r="D989" s="29"/>
      <c r="E989" s="29"/>
    </row>
    <row r="990" spans="1:5" x14ac:dyDescent="0.25">
      <c r="A990" s="21"/>
      <c r="B990" s="168"/>
      <c r="C990" s="28"/>
      <c r="D990" s="29"/>
      <c r="E990" s="29"/>
    </row>
    <row r="991" spans="1:5" x14ac:dyDescent="0.25">
      <c r="A991" s="21"/>
      <c r="B991" s="168"/>
      <c r="C991" s="28"/>
      <c r="D991" s="29"/>
      <c r="E991" s="29"/>
    </row>
    <row r="992" spans="1:5" x14ac:dyDescent="0.25">
      <c r="A992" s="21"/>
      <c r="B992" s="168"/>
      <c r="C992" s="28"/>
      <c r="D992" s="29"/>
      <c r="E992" s="29"/>
    </row>
    <row r="993" spans="1:5" x14ac:dyDescent="0.25">
      <c r="A993" s="21"/>
      <c r="B993" s="168"/>
      <c r="C993" s="28"/>
      <c r="D993" s="29"/>
      <c r="E993" s="29"/>
    </row>
    <row r="994" spans="1:5" x14ac:dyDescent="0.25">
      <c r="A994" s="21"/>
      <c r="B994" s="168"/>
      <c r="C994" s="28"/>
      <c r="D994" s="29"/>
      <c r="E994" s="29"/>
    </row>
    <row r="995" spans="1:5" x14ac:dyDescent="0.25">
      <c r="A995" s="21"/>
      <c r="B995" s="168"/>
      <c r="C995" s="28"/>
      <c r="D995" s="29"/>
      <c r="E995" s="29"/>
    </row>
    <row r="996" spans="1:5" x14ac:dyDescent="0.25">
      <c r="A996" s="21"/>
      <c r="B996" s="168"/>
      <c r="C996" s="28"/>
      <c r="D996" s="29"/>
      <c r="E996" s="29"/>
    </row>
    <row r="997" spans="1:5" x14ac:dyDescent="0.25">
      <c r="A997" s="21"/>
      <c r="B997" s="168"/>
      <c r="C997" s="28"/>
      <c r="D997" s="29"/>
      <c r="E997" s="29"/>
    </row>
    <row r="998" spans="1:5" x14ac:dyDescent="0.25">
      <c r="A998" s="21"/>
      <c r="B998" s="168"/>
      <c r="C998" s="28"/>
      <c r="D998" s="29"/>
      <c r="E998" s="29"/>
    </row>
    <row r="999" spans="1:5" x14ac:dyDescent="0.25">
      <c r="A999" s="21"/>
      <c r="B999" s="168"/>
      <c r="C999" s="28"/>
      <c r="D999" s="29"/>
      <c r="E999" s="29"/>
    </row>
    <row r="1000" spans="1:5" x14ac:dyDescent="0.25">
      <c r="A1000" s="21"/>
      <c r="B1000" s="168"/>
      <c r="C1000" s="28"/>
      <c r="D1000" s="29"/>
      <c r="E1000" s="29"/>
    </row>
    <row r="1001" spans="1:5" x14ac:dyDescent="0.25">
      <c r="A1001" s="21"/>
      <c r="B1001" s="168"/>
      <c r="C1001" s="28"/>
      <c r="D1001" s="29"/>
      <c r="E1001" s="29"/>
    </row>
    <row r="1002" spans="1:5" x14ac:dyDescent="0.25">
      <c r="A1002" s="21"/>
      <c r="B1002" s="168"/>
      <c r="C1002" s="28"/>
      <c r="D1002" s="29"/>
      <c r="E1002" s="29"/>
    </row>
    <row r="1003" spans="1:5" x14ac:dyDescent="0.25">
      <c r="A1003" s="21"/>
      <c r="B1003" s="168"/>
      <c r="C1003" s="28"/>
      <c r="D1003" s="29"/>
      <c r="E1003" s="29"/>
    </row>
    <row r="1004" spans="1:5" x14ac:dyDescent="0.25">
      <c r="A1004" s="21"/>
      <c r="B1004" s="168"/>
      <c r="C1004" s="28"/>
      <c r="D1004" s="29"/>
      <c r="E1004" s="29"/>
    </row>
    <row r="1005" spans="1:5" x14ac:dyDescent="0.25">
      <c r="A1005" s="21"/>
      <c r="B1005" s="168"/>
      <c r="C1005" s="28"/>
      <c r="D1005" s="29"/>
      <c r="E1005" s="29"/>
    </row>
    <row r="1006" spans="1:5" x14ac:dyDescent="0.25">
      <c r="A1006" s="21"/>
      <c r="B1006" s="168"/>
      <c r="C1006" s="28"/>
      <c r="D1006" s="29"/>
      <c r="E1006" s="29"/>
    </row>
    <row r="1007" spans="1:5" x14ac:dyDescent="0.25">
      <c r="A1007" s="21"/>
      <c r="B1007" s="168"/>
      <c r="C1007" s="28"/>
      <c r="D1007" s="29"/>
      <c r="E1007" s="29"/>
    </row>
    <row r="1008" spans="1:5" x14ac:dyDescent="0.25">
      <c r="A1008" s="21"/>
      <c r="B1008" s="168"/>
      <c r="C1008" s="28"/>
      <c r="D1008" s="29"/>
      <c r="E1008" s="29"/>
    </row>
    <row r="1009" spans="1:5" x14ac:dyDescent="0.25">
      <c r="A1009" s="21"/>
      <c r="B1009" s="168"/>
      <c r="C1009" s="28"/>
      <c r="D1009" s="29"/>
      <c r="E1009" s="29"/>
    </row>
    <row r="1010" spans="1:5" x14ac:dyDescent="0.25">
      <c r="A1010" s="21"/>
      <c r="B1010" s="168"/>
      <c r="C1010" s="28"/>
      <c r="D1010" s="29"/>
      <c r="E1010" s="29"/>
    </row>
    <row r="1011" spans="1:5" x14ac:dyDescent="0.25">
      <c r="A1011" s="21"/>
      <c r="B1011" s="168"/>
      <c r="C1011" s="28"/>
      <c r="D1011" s="29"/>
      <c r="E1011" s="29"/>
    </row>
    <row r="1012" spans="1:5" x14ac:dyDescent="0.25">
      <c r="A1012" s="21"/>
      <c r="B1012" s="168"/>
      <c r="C1012" s="28"/>
      <c r="D1012" s="29"/>
      <c r="E1012" s="29"/>
    </row>
    <row r="1013" spans="1:5" x14ac:dyDescent="0.25">
      <c r="A1013" s="21"/>
      <c r="B1013" s="168"/>
      <c r="C1013" s="28"/>
      <c r="D1013" s="29"/>
      <c r="E1013" s="29"/>
    </row>
    <row r="1014" spans="1:5" x14ac:dyDescent="0.25">
      <c r="A1014" s="21"/>
      <c r="B1014" s="168"/>
      <c r="C1014" s="28"/>
      <c r="D1014" s="29"/>
      <c r="E1014" s="29"/>
    </row>
    <row r="1015" spans="1:5" x14ac:dyDescent="0.25">
      <c r="A1015" s="21"/>
      <c r="B1015" s="168"/>
      <c r="C1015" s="28"/>
      <c r="D1015" s="29"/>
      <c r="E1015" s="29"/>
    </row>
    <row r="1016" spans="1:5" x14ac:dyDescent="0.25">
      <c r="A1016" s="21"/>
      <c r="B1016" s="168"/>
      <c r="C1016" s="28"/>
      <c r="D1016" s="29"/>
      <c r="E1016" s="29"/>
    </row>
    <row r="1017" spans="1:5" x14ac:dyDescent="0.25">
      <c r="A1017" s="21"/>
      <c r="B1017" s="168"/>
      <c r="C1017" s="28"/>
      <c r="D1017" s="29"/>
      <c r="E1017" s="29"/>
    </row>
    <row r="1018" spans="1:5" x14ac:dyDescent="0.25">
      <c r="A1018" s="21"/>
      <c r="B1018" s="168"/>
      <c r="C1018" s="28"/>
      <c r="D1018" s="29"/>
      <c r="E1018" s="29"/>
    </row>
    <row r="1019" spans="1:5" x14ac:dyDescent="0.25">
      <c r="A1019" s="21"/>
      <c r="B1019" s="168"/>
      <c r="C1019" s="28"/>
      <c r="D1019" s="29"/>
      <c r="E1019" s="29"/>
    </row>
    <row r="1020" spans="1:5" x14ac:dyDescent="0.25">
      <c r="A1020" s="21"/>
      <c r="B1020" s="168"/>
      <c r="C1020" s="28"/>
      <c r="D1020" s="29"/>
      <c r="E1020" s="29"/>
    </row>
    <row r="1021" spans="1:5" x14ac:dyDescent="0.25">
      <c r="A1021" s="21"/>
      <c r="B1021" s="168"/>
      <c r="C1021" s="28"/>
      <c r="D1021" s="29"/>
      <c r="E1021" s="29"/>
    </row>
    <row r="1022" spans="1:5" x14ac:dyDescent="0.25">
      <c r="A1022" s="21"/>
      <c r="B1022" s="168"/>
      <c r="C1022" s="28"/>
      <c r="D1022" s="29"/>
      <c r="E1022" s="29"/>
    </row>
    <row r="1023" spans="1:5" x14ac:dyDescent="0.25">
      <c r="A1023" s="21"/>
      <c r="B1023" s="168"/>
      <c r="C1023" s="28"/>
      <c r="D1023" s="29"/>
      <c r="E1023" s="29"/>
    </row>
    <row r="1024" spans="1:5" x14ac:dyDescent="0.25">
      <c r="A1024" s="21"/>
      <c r="B1024" s="168"/>
      <c r="C1024" s="28"/>
      <c r="D1024" s="29"/>
      <c r="E1024" s="29"/>
    </row>
    <row r="1025" spans="1:5" x14ac:dyDescent="0.25">
      <c r="A1025" s="21"/>
      <c r="B1025" s="168"/>
      <c r="C1025" s="28"/>
      <c r="D1025" s="29"/>
      <c r="E1025" s="29"/>
    </row>
    <row r="1026" spans="1:5" x14ac:dyDescent="0.25">
      <c r="A1026" s="21"/>
      <c r="B1026" s="168"/>
      <c r="C1026" s="28"/>
      <c r="D1026" s="29"/>
      <c r="E1026" s="29"/>
    </row>
    <row r="1027" spans="1:5" x14ac:dyDescent="0.25">
      <c r="A1027" s="21"/>
      <c r="B1027" s="168"/>
      <c r="C1027" s="28"/>
      <c r="D1027" s="29"/>
      <c r="E1027" s="29"/>
    </row>
    <row r="1028" spans="1:5" x14ac:dyDescent="0.25">
      <c r="A1028" s="21"/>
      <c r="B1028" s="168"/>
      <c r="C1028" s="28"/>
      <c r="D1028" s="29"/>
      <c r="E1028" s="29"/>
    </row>
    <row r="1029" spans="1:5" x14ac:dyDescent="0.25">
      <c r="A1029" s="21"/>
      <c r="B1029" s="168"/>
      <c r="C1029" s="28"/>
      <c r="D1029" s="29"/>
      <c r="E1029" s="29"/>
    </row>
    <row r="1030" spans="1:5" x14ac:dyDescent="0.25">
      <c r="A1030" s="21"/>
      <c r="B1030" s="168"/>
      <c r="C1030" s="28"/>
      <c r="D1030" s="29"/>
      <c r="E1030" s="29"/>
    </row>
    <row r="1031" spans="1:5" x14ac:dyDescent="0.25">
      <c r="A1031" s="21"/>
      <c r="B1031" s="168"/>
      <c r="C1031" s="28"/>
      <c r="D1031" s="29"/>
      <c r="E1031" s="29"/>
    </row>
    <row r="1032" spans="1:5" x14ac:dyDescent="0.25">
      <c r="A1032" s="21"/>
      <c r="B1032" s="168"/>
      <c r="C1032" s="28"/>
      <c r="D1032" s="29"/>
      <c r="E1032" s="29"/>
    </row>
    <row r="1033" spans="1:5" x14ac:dyDescent="0.25">
      <c r="A1033" s="21"/>
      <c r="B1033" s="168"/>
      <c r="C1033" s="28"/>
      <c r="D1033" s="29"/>
      <c r="E1033" s="29"/>
    </row>
    <row r="1034" spans="1:5" x14ac:dyDescent="0.25">
      <c r="A1034" s="21"/>
      <c r="B1034" s="168"/>
      <c r="C1034" s="28"/>
      <c r="D1034" s="29"/>
      <c r="E1034" s="29"/>
    </row>
    <row r="1035" spans="1:5" x14ac:dyDescent="0.25">
      <c r="A1035" s="21"/>
      <c r="B1035" s="168"/>
      <c r="C1035" s="28"/>
      <c r="D1035" s="29"/>
      <c r="E1035" s="29"/>
    </row>
    <row r="1036" spans="1:5" x14ac:dyDescent="0.25">
      <c r="A1036" s="21"/>
      <c r="B1036" s="168"/>
      <c r="C1036" s="28"/>
      <c r="D1036" s="29"/>
      <c r="E1036" s="29"/>
    </row>
    <row r="1037" spans="1:5" x14ac:dyDescent="0.25">
      <c r="A1037" s="21"/>
      <c r="B1037" s="168"/>
      <c r="C1037" s="28"/>
      <c r="D1037" s="29"/>
      <c r="E1037" s="29"/>
    </row>
    <row r="1038" spans="1:5" x14ac:dyDescent="0.25">
      <c r="A1038" s="21"/>
      <c r="B1038" s="168"/>
      <c r="C1038" s="28"/>
      <c r="D1038" s="29"/>
      <c r="E1038" s="29"/>
    </row>
    <row r="1039" spans="1:5" x14ac:dyDescent="0.25">
      <c r="A1039" s="21"/>
      <c r="B1039" s="168"/>
      <c r="C1039" s="28"/>
      <c r="D1039" s="29"/>
      <c r="E1039" s="29"/>
    </row>
    <row r="1040" spans="1:5" x14ac:dyDescent="0.25">
      <c r="A1040" s="21"/>
      <c r="B1040" s="168"/>
      <c r="C1040" s="28"/>
      <c r="D1040" s="29"/>
      <c r="E1040" s="29"/>
    </row>
    <row r="1041" spans="1:5" x14ac:dyDescent="0.25">
      <c r="A1041" s="21"/>
      <c r="B1041" s="168"/>
      <c r="C1041" s="28"/>
      <c r="D1041" s="29"/>
      <c r="E1041" s="29"/>
    </row>
    <row r="1042" spans="1:5" x14ac:dyDescent="0.25">
      <c r="A1042" s="21"/>
      <c r="B1042" s="168"/>
      <c r="C1042" s="28"/>
      <c r="D1042" s="29"/>
      <c r="E1042" s="29"/>
    </row>
    <row r="1043" spans="1:5" x14ac:dyDescent="0.25">
      <c r="A1043" s="21"/>
      <c r="B1043" s="168"/>
      <c r="C1043" s="28"/>
      <c r="D1043" s="29"/>
      <c r="E1043" s="29"/>
    </row>
    <row r="1044" spans="1:5" x14ac:dyDescent="0.25">
      <c r="A1044" s="21"/>
      <c r="B1044" s="168"/>
      <c r="C1044" s="28"/>
      <c r="D1044" s="29"/>
      <c r="E1044" s="29"/>
    </row>
    <row r="1045" spans="1:5" x14ac:dyDescent="0.25">
      <c r="A1045" s="21"/>
      <c r="B1045" s="168"/>
      <c r="C1045" s="28"/>
      <c r="D1045" s="29"/>
      <c r="E1045" s="29"/>
    </row>
    <row r="1046" spans="1:5" x14ac:dyDescent="0.25">
      <c r="A1046" s="21"/>
      <c r="B1046" s="168"/>
      <c r="C1046" s="28"/>
      <c r="D1046" s="29"/>
      <c r="E1046" s="29"/>
    </row>
    <row r="1047" spans="1:5" x14ac:dyDescent="0.25">
      <c r="A1047" s="21"/>
      <c r="B1047" s="168"/>
      <c r="C1047" s="28"/>
      <c r="D1047" s="29"/>
      <c r="E1047" s="29"/>
    </row>
    <row r="1048" spans="1:5" x14ac:dyDescent="0.25">
      <c r="A1048" s="21"/>
      <c r="B1048" s="168"/>
      <c r="C1048" s="28"/>
      <c r="D1048" s="29"/>
      <c r="E1048" s="29"/>
    </row>
    <row r="1049" spans="1:5" x14ac:dyDescent="0.25">
      <c r="A1049" s="21"/>
      <c r="B1049" s="168"/>
      <c r="C1049" s="28"/>
      <c r="D1049" s="29"/>
      <c r="E1049" s="29"/>
    </row>
    <row r="1050" spans="1:5" x14ac:dyDescent="0.25">
      <c r="A1050" s="21"/>
      <c r="B1050" s="168"/>
      <c r="C1050" s="28"/>
      <c r="D1050" s="29"/>
      <c r="E1050" s="29"/>
    </row>
    <row r="1051" spans="1:5" x14ac:dyDescent="0.25">
      <c r="A1051" s="21"/>
      <c r="B1051" s="168"/>
      <c r="C1051" s="28"/>
      <c r="D1051" s="29"/>
      <c r="E1051" s="29"/>
    </row>
    <row r="1052" spans="1:5" x14ac:dyDescent="0.25">
      <c r="A1052" s="21"/>
      <c r="B1052" s="168"/>
      <c r="C1052" s="28"/>
      <c r="D1052" s="29"/>
      <c r="E1052" s="29"/>
    </row>
    <row r="1053" spans="1:5" x14ac:dyDescent="0.25">
      <c r="A1053" s="21"/>
      <c r="B1053" s="168"/>
      <c r="C1053" s="28"/>
      <c r="D1053" s="29"/>
      <c r="E1053" s="29"/>
    </row>
    <row r="1054" spans="1:5" x14ac:dyDescent="0.25">
      <c r="A1054" s="21"/>
      <c r="B1054" s="168"/>
      <c r="C1054" s="28"/>
      <c r="D1054" s="29"/>
      <c r="E1054" s="29"/>
    </row>
    <row r="1055" spans="1:5" x14ac:dyDescent="0.25">
      <c r="A1055" s="21"/>
      <c r="B1055" s="168"/>
      <c r="C1055" s="28"/>
      <c r="D1055" s="29"/>
      <c r="E1055" s="29"/>
    </row>
    <row r="1056" spans="1:5" x14ac:dyDescent="0.25">
      <c r="A1056" s="21"/>
      <c r="B1056" s="168"/>
      <c r="C1056" s="28"/>
      <c r="D1056" s="29"/>
      <c r="E1056" s="29"/>
    </row>
    <row r="1057" spans="1:5" x14ac:dyDescent="0.25">
      <c r="A1057" s="21"/>
      <c r="B1057" s="168"/>
      <c r="C1057" s="28"/>
      <c r="D1057" s="29"/>
      <c r="E1057" s="29"/>
    </row>
    <row r="1058" spans="1:5" x14ac:dyDescent="0.25">
      <c r="A1058" s="21"/>
      <c r="B1058" s="168"/>
      <c r="C1058" s="28"/>
      <c r="D1058" s="29"/>
      <c r="E1058" s="29"/>
    </row>
    <row r="1059" spans="1:5" x14ac:dyDescent="0.25">
      <c r="A1059" s="21"/>
      <c r="B1059" s="168"/>
      <c r="C1059" s="28"/>
      <c r="D1059" s="29"/>
      <c r="E1059" s="29"/>
    </row>
    <row r="1060" spans="1:5" x14ac:dyDescent="0.25">
      <c r="A1060" s="21"/>
      <c r="B1060" s="168"/>
      <c r="C1060" s="28"/>
      <c r="D1060" s="29"/>
      <c r="E1060" s="29"/>
    </row>
    <row r="1061" spans="1:5" x14ac:dyDescent="0.25">
      <c r="A1061" s="21"/>
      <c r="B1061" s="168"/>
      <c r="C1061" s="28"/>
      <c r="D1061" s="29"/>
      <c r="E1061" s="29"/>
    </row>
    <row r="1062" spans="1:5" x14ac:dyDescent="0.25">
      <c r="A1062" s="21"/>
      <c r="B1062" s="168"/>
      <c r="C1062" s="28"/>
      <c r="D1062" s="29"/>
      <c r="E1062" s="29"/>
    </row>
    <row r="1063" spans="1:5" x14ac:dyDescent="0.25">
      <c r="A1063" s="21"/>
      <c r="B1063" s="168"/>
      <c r="C1063" s="28"/>
      <c r="D1063" s="29"/>
      <c r="E1063" s="29"/>
    </row>
    <row r="1064" spans="1:5" x14ac:dyDescent="0.25">
      <c r="A1064" s="21"/>
      <c r="B1064" s="168"/>
      <c r="C1064" s="28"/>
      <c r="D1064" s="29"/>
      <c r="E1064" s="29"/>
    </row>
    <row r="1065" spans="1:5" x14ac:dyDescent="0.25">
      <c r="A1065" s="21"/>
      <c r="B1065" s="168"/>
      <c r="C1065" s="28"/>
      <c r="D1065" s="29"/>
      <c r="E1065" s="29"/>
    </row>
    <row r="1066" spans="1:5" x14ac:dyDescent="0.25">
      <c r="A1066" s="21"/>
      <c r="B1066" s="168"/>
      <c r="C1066" s="28"/>
      <c r="D1066" s="29"/>
      <c r="E1066" s="29"/>
    </row>
    <row r="1067" spans="1:5" x14ac:dyDescent="0.25">
      <c r="A1067" s="21"/>
      <c r="B1067" s="168"/>
      <c r="C1067" s="28"/>
      <c r="D1067" s="29"/>
      <c r="E1067" s="29"/>
    </row>
    <row r="1068" spans="1:5" x14ac:dyDescent="0.25">
      <c r="A1068" s="21"/>
      <c r="B1068" s="168"/>
      <c r="C1068" s="28"/>
      <c r="D1068" s="29"/>
      <c r="E1068" s="29"/>
    </row>
    <row r="1069" spans="1:5" x14ac:dyDescent="0.25">
      <c r="A1069" s="21"/>
      <c r="B1069" s="168"/>
      <c r="C1069" s="28"/>
      <c r="D1069" s="29"/>
      <c r="E1069" s="29"/>
    </row>
    <row r="1070" spans="1:5" x14ac:dyDescent="0.25">
      <c r="A1070" s="21"/>
      <c r="B1070" s="168"/>
      <c r="C1070" s="28"/>
      <c r="D1070" s="29"/>
      <c r="E1070" s="29"/>
    </row>
    <row r="1071" spans="1:5" x14ac:dyDescent="0.25">
      <c r="A1071" s="21"/>
      <c r="B1071" s="168"/>
      <c r="C1071" s="28"/>
      <c r="D1071" s="29"/>
      <c r="E1071" s="29"/>
    </row>
    <row r="1072" spans="1:5" x14ac:dyDescent="0.25">
      <c r="A1072" s="21"/>
      <c r="B1072" s="168"/>
      <c r="C1072" s="28"/>
      <c r="D1072" s="29"/>
      <c r="E1072" s="29"/>
    </row>
    <row r="1073" spans="1:5" x14ac:dyDescent="0.25">
      <c r="A1073" s="21"/>
      <c r="B1073" s="168"/>
      <c r="C1073" s="28"/>
      <c r="D1073" s="29"/>
      <c r="E1073" s="29"/>
    </row>
    <row r="1074" spans="1:5" x14ac:dyDescent="0.25">
      <c r="A1074" s="21"/>
      <c r="B1074" s="168"/>
      <c r="C1074" s="28"/>
      <c r="D1074" s="29"/>
      <c r="E1074" s="29"/>
    </row>
    <row r="1075" spans="1:5" x14ac:dyDescent="0.25">
      <c r="A1075" s="21"/>
      <c r="B1075" s="168"/>
      <c r="C1075" s="28"/>
      <c r="D1075" s="29"/>
      <c r="E1075" s="29"/>
    </row>
    <row r="1076" spans="1:5" x14ac:dyDescent="0.25">
      <c r="A1076" s="21"/>
      <c r="B1076" s="168"/>
      <c r="C1076" s="28"/>
      <c r="D1076" s="29"/>
      <c r="E1076" s="29"/>
    </row>
    <row r="1077" spans="1:5" x14ac:dyDescent="0.25">
      <c r="A1077" s="21"/>
      <c r="B1077" s="168"/>
      <c r="C1077" s="28"/>
      <c r="D1077" s="29"/>
      <c r="E1077" s="29"/>
    </row>
    <row r="1078" spans="1:5" x14ac:dyDescent="0.25">
      <c r="A1078" s="21"/>
      <c r="B1078" s="168"/>
      <c r="C1078" s="28"/>
      <c r="D1078" s="29"/>
      <c r="E1078" s="29"/>
    </row>
    <row r="1079" spans="1:5" x14ac:dyDescent="0.25">
      <c r="A1079" s="21"/>
      <c r="B1079" s="168"/>
      <c r="C1079" s="28"/>
      <c r="D1079" s="29"/>
      <c r="E1079" s="29"/>
    </row>
    <row r="1080" spans="1:5" x14ac:dyDescent="0.25">
      <c r="A1080" s="21"/>
      <c r="B1080" s="168"/>
      <c r="C1080" s="28"/>
      <c r="D1080" s="29"/>
      <c r="E1080" s="29"/>
    </row>
    <row r="1081" spans="1:5" x14ac:dyDescent="0.25">
      <c r="A1081" s="21"/>
      <c r="B1081" s="168"/>
      <c r="C1081" s="28"/>
      <c r="D1081" s="29"/>
      <c r="E1081" s="29"/>
    </row>
    <row r="1082" spans="1:5" x14ac:dyDescent="0.25">
      <c r="A1082" s="21"/>
      <c r="B1082" s="168"/>
      <c r="C1082" s="28"/>
      <c r="D1082" s="29"/>
      <c r="E1082" s="29"/>
    </row>
    <row r="1083" spans="1:5" x14ac:dyDescent="0.25">
      <c r="A1083" s="21"/>
      <c r="B1083" s="168"/>
      <c r="C1083" s="28"/>
      <c r="D1083" s="29"/>
      <c r="E1083" s="29"/>
    </row>
    <row r="1084" spans="1:5" x14ac:dyDescent="0.25">
      <c r="A1084" s="21"/>
      <c r="B1084" s="168"/>
      <c r="C1084" s="28"/>
      <c r="D1084" s="29"/>
      <c r="E1084" s="29"/>
    </row>
    <row r="1085" spans="1:5" x14ac:dyDescent="0.25">
      <c r="A1085" s="21"/>
      <c r="B1085" s="168"/>
      <c r="C1085" s="28"/>
      <c r="D1085" s="29"/>
      <c r="E1085" s="29"/>
    </row>
    <row r="1086" spans="1:5" x14ac:dyDescent="0.25">
      <c r="A1086" s="21"/>
      <c r="B1086" s="168"/>
      <c r="C1086" s="28"/>
      <c r="D1086" s="29"/>
      <c r="E1086" s="29"/>
    </row>
    <row r="1087" spans="1:5" x14ac:dyDescent="0.25">
      <c r="A1087" s="21"/>
      <c r="B1087" s="168"/>
      <c r="C1087" s="28"/>
      <c r="D1087" s="29"/>
      <c r="E1087" s="29"/>
    </row>
    <row r="1088" spans="1:5" x14ac:dyDescent="0.25">
      <c r="A1088" s="21"/>
      <c r="B1088" s="168"/>
      <c r="C1088" s="28"/>
      <c r="D1088" s="29"/>
      <c r="E1088" s="29"/>
    </row>
    <row r="1089" spans="1:5" x14ac:dyDescent="0.25">
      <c r="A1089" s="21"/>
      <c r="B1089" s="168"/>
      <c r="C1089" s="28"/>
      <c r="D1089" s="29"/>
      <c r="E1089" s="29"/>
    </row>
    <row r="1090" spans="1:5" x14ac:dyDescent="0.25">
      <c r="A1090" s="21"/>
      <c r="B1090" s="168"/>
      <c r="C1090" s="28"/>
      <c r="D1090" s="29"/>
      <c r="E1090" s="29"/>
    </row>
    <row r="1091" spans="1:5" x14ac:dyDescent="0.25">
      <c r="A1091" s="21"/>
      <c r="B1091" s="168"/>
      <c r="C1091" s="28"/>
      <c r="D1091" s="29"/>
      <c r="E1091" s="29"/>
    </row>
    <row r="1092" spans="1:5" x14ac:dyDescent="0.25">
      <c r="A1092" s="21"/>
      <c r="B1092" s="168"/>
      <c r="C1092" s="28"/>
      <c r="D1092" s="29"/>
      <c r="E1092" s="29"/>
    </row>
    <row r="1093" spans="1:5" x14ac:dyDescent="0.25">
      <c r="A1093" s="21"/>
      <c r="B1093" s="168"/>
      <c r="C1093" s="28"/>
      <c r="D1093" s="29"/>
      <c r="E1093" s="29"/>
    </row>
    <row r="1094" spans="1:5" x14ac:dyDescent="0.25">
      <c r="A1094" s="21"/>
      <c r="B1094" s="168"/>
      <c r="C1094" s="28"/>
      <c r="D1094" s="29"/>
      <c r="E1094" s="29"/>
    </row>
    <row r="1095" spans="1:5" x14ac:dyDescent="0.25">
      <c r="A1095" s="21"/>
      <c r="B1095" s="168"/>
      <c r="C1095" s="28"/>
      <c r="D1095" s="29"/>
      <c r="E1095" s="29"/>
    </row>
    <row r="1096" spans="1:5" x14ac:dyDescent="0.25">
      <c r="A1096" s="21"/>
      <c r="B1096" s="168"/>
      <c r="C1096" s="28"/>
      <c r="D1096" s="29"/>
      <c r="E1096" s="29"/>
    </row>
    <row r="1097" spans="1:5" x14ac:dyDescent="0.25">
      <c r="A1097" s="21"/>
      <c r="B1097" s="168"/>
      <c r="C1097" s="28"/>
      <c r="D1097" s="29"/>
      <c r="E1097" s="29"/>
    </row>
    <row r="1098" spans="1:5" x14ac:dyDescent="0.25">
      <c r="A1098" s="21"/>
      <c r="B1098" s="168"/>
      <c r="C1098" s="28"/>
      <c r="D1098" s="29"/>
      <c r="E1098" s="29"/>
    </row>
    <row r="1099" spans="1:5" x14ac:dyDescent="0.25">
      <c r="A1099" s="21"/>
      <c r="B1099" s="168"/>
      <c r="C1099" s="28"/>
      <c r="D1099" s="29"/>
      <c r="E1099" s="29"/>
    </row>
    <row r="1100" spans="1:5" x14ac:dyDescent="0.25">
      <c r="A1100" s="21"/>
      <c r="B1100" s="168"/>
      <c r="C1100" s="28"/>
      <c r="D1100" s="29"/>
      <c r="E1100" s="29"/>
    </row>
    <row r="1101" spans="1:5" x14ac:dyDescent="0.25">
      <c r="A1101" s="21"/>
      <c r="B1101" s="168"/>
      <c r="C1101" s="28"/>
      <c r="D1101" s="29"/>
      <c r="E1101" s="29"/>
    </row>
    <row r="1102" spans="1:5" x14ac:dyDescent="0.25">
      <c r="A1102" s="21"/>
      <c r="B1102" s="168"/>
      <c r="C1102" s="28"/>
      <c r="D1102" s="29"/>
      <c r="E1102" s="29"/>
    </row>
    <row r="1103" spans="1:5" x14ac:dyDescent="0.25">
      <c r="A1103" s="21"/>
      <c r="B1103" s="168"/>
      <c r="C1103" s="28"/>
      <c r="D1103" s="29"/>
      <c r="E1103" s="29"/>
    </row>
    <row r="1104" spans="1:5" x14ac:dyDescent="0.25">
      <c r="A1104" s="21"/>
      <c r="B1104" s="168"/>
      <c r="C1104" s="28"/>
      <c r="D1104" s="29"/>
      <c r="E1104" s="29"/>
    </row>
    <row r="1105" spans="1:5" x14ac:dyDescent="0.25">
      <c r="A1105" s="21"/>
      <c r="B1105" s="168"/>
      <c r="C1105" s="28"/>
      <c r="D1105" s="29"/>
      <c r="E1105" s="29"/>
    </row>
    <row r="1106" spans="1:5" x14ac:dyDescent="0.25">
      <c r="A1106" s="21"/>
      <c r="B1106" s="168"/>
      <c r="C1106" s="28"/>
      <c r="D1106" s="29"/>
      <c r="E1106" s="29"/>
    </row>
    <row r="1107" spans="1:5" x14ac:dyDescent="0.25">
      <c r="A1107" s="21"/>
      <c r="B1107" s="168"/>
      <c r="C1107" s="28"/>
      <c r="D1107" s="29"/>
      <c r="E1107" s="29"/>
    </row>
    <row r="1108" spans="1:5" x14ac:dyDescent="0.25">
      <c r="A1108" s="21"/>
      <c r="B1108" s="168"/>
      <c r="C1108" s="28"/>
      <c r="D1108" s="29"/>
      <c r="E1108" s="29"/>
    </row>
    <row r="1109" spans="1:5" x14ac:dyDescent="0.25">
      <c r="A1109" s="21"/>
      <c r="B1109" s="168"/>
      <c r="C1109" s="28"/>
      <c r="D1109" s="29"/>
      <c r="E1109" s="29"/>
    </row>
    <row r="1110" spans="1:5" x14ac:dyDescent="0.25">
      <c r="A1110" s="21"/>
      <c r="B1110" s="168"/>
      <c r="C1110" s="28"/>
      <c r="D1110" s="29"/>
      <c r="E1110" s="29"/>
    </row>
    <row r="1111" spans="1:5" x14ac:dyDescent="0.25">
      <c r="A1111" s="21"/>
      <c r="B1111" s="168"/>
      <c r="C1111" s="28"/>
      <c r="D1111" s="29"/>
      <c r="E1111" s="29"/>
    </row>
    <row r="1112" spans="1:5" x14ac:dyDescent="0.25">
      <c r="A1112" s="21"/>
      <c r="B1112" s="168"/>
      <c r="C1112" s="28"/>
      <c r="D1112" s="29"/>
      <c r="E1112" s="29"/>
    </row>
    <row r="1113" spans="1:5" x14ac:dyDescent="0.25">
      <c r="A1113" s="21"/>
      <c r="B1113" s="168"/>
      <c r="C1113" s="28"/>
      <c r="D1113" s="29"/>
      <c r="E1113" s="29"/>
    </row>
    <row r="1114" spans="1:5" x14ac:dyDescent="0.25">
      <c r="A1114" s="21"/>
      <c r="B1114" s="168"/>
      <c r="C1114" s="28"/>
      <c r="D1114" s="29"/>
      <c r="E1114" s="29"/>
    </row>
    <row r="1115" spans="1:5" x14ac:dyDescent="0.25">
      <c r="A1115" s="21"/>
      <c r="B1115" s="168"/>
      <c r="C1115" s="28"/>
      <c r="D1115" s="29"/>
      <c r="E1115" s="29"/>
    </row>
    <row r="1116" spans="1:5" x14ac:dyDescent="0.25">
      <c r="A1116" s="21"/>
      <c r="B1116" s="168"/>
      <c r="C1116" s="28"/>
      <c r="D1116" s="29"/>
      <c r="E1116" s="29"/>
    </row>
    <row r="1117" spans="1:5" x14ac:dyDescent="0.25">
      <c r="A1117" s="21"/>
      <c r="B1117" s="168"/>
      <c r="C1117" s="28"/>
      <c r="D1117" s="29"/>
      <c r="E1117" s="29"/>
    </row>
    <row r="1118" spans="1:5" x14ac:dyDescent="0.25">
      <c r="A1118" s="21"/>
      <c r="B1118" s="168"/>
      <c r="C1118" s="28"/>
      <c r="D1118" s="29"/>
      <c r="E1118" s="29"/>
    </row>
    <row r="1119" spans="1:5" x14ac:dyDescent="0.25">
      <c r="A1119" s="21"/>
      <c r="B1119" s="168"/>
      <c r="C1119" s="28"/>
      <c r="D1119" s="29"/>
      <c r="E1119" s="29"/>
    </row>
    <row r="1120" spans="1:5" x14ac:dyDescent="0.25">
      <c r="A1120" s="21"/>
      <c r="B1120" s="168"/>
      <c r="C1120" s="28"/>
      <c r="D1120" s="29"/>
      <c r="E1120" s="29"/>
    </row>
    <row r="1121" spans="1:5" x14ac:dyDescent="0.25">
      <c r="A1121" s="21"/>
      <c r="B1121" s="168"/>
      <c r="C1121" s="28"/>
      <c r="D1121" s="29"/>
      <c r="E1121" s="29"/>
    </row>
    <row r="1122" spans="1:5" x14ac:dyDescent="0.25">
      <c r="A1122" s="21"/>
      <c r="B1122" s="168"/>
      <c r="C1122" s="28"/>
      <c r="D1122" s="29"/>
      <c r="E1122" s="29"/>
    </row>
    <row r="1123" spans="1:5" x14ac:dyDescent="0.25">
      <c r="A1123" s="21"/>
      <c r="B1123" s="168"/>
      <c r="C1123" s="28"/>
      <c r="D1123" s="29"/>
      <c r="E1123" s="29"/>
    </row>
    <row r="1124" spans="1:5" x14ac:dyDescent="0.25">
      <c r="A1124" s="21"/>
      <c r="B1124" s="168"/>
      <c r="C1124" s="28"/>
      <c r="D1124" s="29"/>
      <c r="E1124" s="29"/>
    </row>
    <row r="1125" spans="1:5" x14ac:dyDescent="0.25">
      <c r="A1125" s="21"/>
      <c r="B1125" s="168"/>
      <c r="C1125" s="28"/>
      <c r="D1125" s="29"/>
      <c r="E1125" s="29"/>
    </row>
    <row r="1126" spans="1:5" x14ac:dyDescent="0.25">
      <c r="A1126" s="21"/>
      <c r="B1126" s="168"/>
      <c r="C1126" s="28"/>
      <c r="D1126" s="29"/>
      <c r="E1126" s="29"/>
    </row>
    <row r="1127" spans="1:5" x14ac:dyDescent="0.25">
      <c r="A1127" s="21"/>
      <c r="B1127" s="168"/>
      <c r="C1127" s="28"/>
      <c r="D1127" s="29"/>
      <c r="E1127" s="29"/>
    </row>
    <row r="1128" spans="1:5" x14ac:dyDescent="0.25">
      <c r="A1128" s="21"/>
      <c r="B1128" s="168"/>
      <c r="C1128" s="28"/>
      <c r="D1128" s="29"/>
      <c r="E1128" s="29"/>
    </row>
    <row r="1129" spans="1:5" x14ac:dyDescent="0.25">
      <c r="A1129" s="21"/>
      <c r="B1129" s="168"/>
      <c r="C1129" s="28"/>
      <c r="D1129" s="29"/>
      <c r="E1129" s="29"/>
    </row>
    <row r="1130" spans="1:5" x14ac:dyDescent="0.25">
      <c r="A1130" s="21"/>
      <c r="B1130" s="168"/>
      <c r="C1130" s="28"/>
      <c r="D1130" s="29"/>
      <c r="E1130" s="29"/>
    </row>
    <row r="1131" spans="1:5" x14ac:dyDescent="0.25">
      <c r="A1131" s="21"/>
      <c r="B1131" s="168"/>
      <c r="C1131" s="28"/>
      <c r="D1131" s="29"/>
      <c r="E1131" s="29"/>
    </row>
    <row r="1132" spans="1:5" x14ac:dyDescent="0.25">
      <c r="A1132" s="21"/>
      <c r="B1132" s="168"/>
      <c r="C1132" s="28"/>
      <c r="D1132" s="29"/>
      <c r="E1132" s="29"/>
    </row>
    <row r="1133" spans="1:5" x14ac:dyDescent="0.25">
      <c r="A1133" s="21"/>
      <c r="B1133" s="168"/>
      <c r="C1133" s="28"/>
      <c r="D1133" s="29"/>
      <c r="E1133" s="29"/>
    </row>
    <row r="1134" spans="1:5" x14ac:dyDescent="0.25">
      <c r="A1134" s="21"/>
      <c r="B1134" s="168"/>
      <c r="C1134" s="28"/>
      <c r="D1134" s="29"/>
      <c r="E1134" s="29"/>
    </row>
    <row r="1135" spans="1:5" x14ac:dyDescent="0.25">
      <c r="A1135" s="21"/>
      <c r="B1135" s="168"/>
      <c r="C1135" s="28"/>
      <c r="D1135" s="29"/>
      <c r="E1135" s="29"/>
    </row>
    <row r="1136" spans="1:5" x14ac:dyDescent="0.25">
      <c r="A1136" s="21"/>
      <c r="B1136" s="168"/>
      <c r="C1136" s="28"/>
      <c r="D1136" s="29"/>
      <c r="E1136" s="29"/>
    </row>
    <row r="1137" spans="1:5" x14ac:dyDescent="0.25">
      <c r="A1137" s="21"/>
      <c r="B1137" s="168"/>
      <c r="C1137" s="28"/>
      <c r="D1137" s="29"/>
      <c r="E1137" s="29"/>
    </row>
    <row r="1138" spans="1:5" x14ac:dyDescent="0.25">
      <c r="A1138" s="21"/>
      <c r="B1138" s="168"/>
      <c r="C1138" s="28"/>
      <c r="D1138" s="29"/>
      <c r="E1138" s="29"/>
    </row>
    <row r="1139" spans="1:5" x14ac:dyDescent="0.25">
      <c r="A1139" s="21"/>
      <c r="B1139" s="168"/>
      <c r="C1139" s="28"/>
      <c r="D1139" s="29"/>
      <c r="E1139" s="29"/>
    </row>
    <row r="1140" spans="1:5" x14ac:dyDescent="0.25">
      <c r="A1140" s="21"/>
      <c r="B1140" s="168"/>
      <c r="C1140" s="28"/>
      <c r="D1140" s="29"/>
      <c r="E1140" s="29"/>
    </row>
    <row r="1141" spans="1:5" x14ac:dyDescent="0.25">
      <c r="A1141" s="21"/>
      <c r="B1141" s="168"/>
      <c r="C1141" s="28"/>
      <c r="D1141" s="29"/>
      <c r="E1141" s="29"/>
    </row>
    <row r="1142" spans="1:5" x14ac:dyDescent="0.25">
      <c r="A1142" s="21"/>
      <c r="B1142" s="168"/>
      <c r="C1142" s="28"/>
      <c r="D1142" s="29"/>
      <c r="E1142" s="29"/>
    </row>
    <row r="1143" spans="1:5" x14ac:dyDescent="0.25">
      <c r="A1143" s="21"/>
      <c r="B1143" s="168"/>
      <c r="C1143" s="28"/>
      <c r="D1143" s="29"/>
      <c r="E1143" s="29"/>
    </row>
    <row r="1144" spans="1:5" x14ac:dyDescent="0.25">
      <c r="A1144" s="21"/>
      <c r="B1144" s="168"/>
      <c r="C1144" s="28"/>
      <c r="D1144" s="29"/>
      <c r="E1144" s="29"/>
    </row>
    <row r="1145" spans="1:5" x14ac:dyDescent="0.25">
      <c r="A1145" s="21"/>
      <c r="B1145" s="168"/>
      <c r="C1145" s="28"/>
      <c r="D1145" s="29"/>
      <c r="E1145" s="29"/>
    </row>
    <row r="1146" spans="1:5" x14ac:dyDescent="0.25">
      <c r="A1146" s="21"/>
      <c r="B1146" s="168"/>
      <c r="C1146" s="28"/>
      <c r="D1146" s="29"/>
      <c r="E1146" s="29"/>
    </row>
    <row r="1147" spans="1:5" x14ac:dyDescent="0.25">
      <c r="A1147" s="21"/>
      <c r="B1147" s="168"/>
      <c r="C1147" s="28"/>
      <c r="D1147" s="29"/>
      <c r="E1147" s="29"/>
    </row>
    <row r="1148" spans="1:5" x14ac:dyDescent="0.25">
      <c r="A1148" s="21"/>
      <c r="B1148" s="168"/>
      <c r="C1148" s="28"/>
      <c r="D1148" s="29"/>
      <c r="E1148" s="29"/>
    </row>
    <row r="1149" spans="1:5" x14ac:dyDescent="0.25">
      <c r="A1149" s="21"/>
      <c r="B1149" s="168"/>
      <c r="C1149" s="28"/>
      <c r="D1149" s="29"/>
      <c r="E1149" s="29"/>
    </row>
    <row r="1150" spans="1:5" x14ac:dyDescent="0.25">
      <c r="A1150" s="21"/>
      <c r="B1150" s="168"/>
      <c r="C1150" s="28"/>
      <c r="D1150" s="29"/>
      <c r="E1150" s="29"/>
    </row>
    <row r="1151" spans="1:5" x14ac:dyDescent="0.25">
      <c r="A1151" s="21"/>
      <c r="B1151" s="168"/>
      <c r="C1151" s="28"/>
      <c r="D1151" s="29"/>
      <c r="E1151" s="29"/>
    </row>
    <row r="1152" spans="1:5" x14ac:dyDescent="0.25">
      <c r="A1152" s="21"/>
      <c r="B1152" s="168"/>
      <c r="C1152" s="28"/>
      <c r="D1152" s="29"/>
      <c r="E1152" s="29"/>
    </row>
    <row r="1153" spans="1:5" x14ac:dyDescent="0.25">
      <c r="A1153" s="21"/>
      <c r="B1153" s="168"/>
      <c r="C1153" s="28"/>
      <c r="D1153" s="29"/>
      <c r="E1153" s="29"/>
    </row>
    <row r="1154" spans="1:5" x14ac:dyDescent="0.25">
      <c r="A1154" s="21"/>
      <c r="B1154" s="168"/>
      <c r="C1154" s="28"/>
      <c r="D1154" s="29"/>
      <c r="E1154" s="29"/>
    </row>
    <row r="1155" spans="1:5" x14ac:dyDescent="0.25">
      <c r="A1155" s="21"/>
      <c r="B1155" s="168"/>
      <c r="C1155" s="28"/>
      <c r="D1155" s="29"/>
      <c r="E1155" s="29"/>
    </row>
    <row r="1156" spans="1:5" x14ac:dyDescent="0.25">
      <c r="A1156" s="21"/>
      <c r="B1156" s="168"/>
      <c r="C1156" s="28"/>
      <c r="D1156" s="29"/>
      <c r="E1156" s="29"/>
    </row>
    <row r="1157" spans="1:5" x14ac:dyDescent="0.25">
      <c r="A1157" s="21"/>
      <c r="B1157" s="168"/>
      <c r="C1157" s="28"/>
      <c r="D1157" s="29"/>
      <c r="E1157" s="29"/>
    </row>
    <row r="1158" spans="1:5" x14ac:dyDescent="0.25">
      <c r="A1158" s="21"/>
      <c r="B1158" s="168"/>
      <c r="C1158" s="28"/>
      <c r="D1158" s="29"/>
      <c r="E1158" s="29"/>
    </row>
    <row r="1159" spans="1:5" x14ac:dyDescent="0.25">
      <c r="A1159" s="21"/>
      <c r="B1159" s="168"/>
      <c r="C1159" s="28"/>
      <c r="D1159" s="29"/>
      <c r="E1159" s="29"/>
    </row>
    <row r="1160" spans="1:5" x14ac:dyDescent="0.25">
      <c r="A1160" s="21"/>
      <c r="B1160" s="168"/>
      <c r="C1160" s="28"/>
      <c r="D1160" s="29"/>
      <c r="E1160" s="29"/>
    </row>
    <row r="1161" spans="1:5" x14ac:dyDescent="0.25">
      <c r="A1161" s="21"/>
      <c r="B1161" s="168"/>
      <c r="C1161" s="28"/>
      <c r="D1161" s="29"/>
      <c r="E1161" s="29"/>
    </row>
    <row r="1162" spans="1:5" x14ac:dyDescent="0.25">
      <c r="A1162" s="21"/>
      <c r="B1162" s="168"/>
      <c r="C1162" s="28"/>
      <c r="D1162" s="29"/>
      <c r="E1162" s="29"/>
    </row>
    <row r="1163" spans="1:5" x14ac:dyDescent="0.25">
      <c r="A1163" s="21"/>
      <c r="B1163" s="168"/>
      <c r="C1163" s="28"/>
      <c r="D1163" s="29"/>
      <c r="E1163" s="29"/>
    </row>
    <row r="1164" spans="1:5" x14ac:dyDescent="0.25">
      <c r="A1164" s="21"/>
      <c r="B1164" s="168"/>
      <c r="C1164" s="28"/>
      <c r="D1164" s="29"/>
      <c r="E1164" s="29"/>
    </row>
    <row r="1165" spans="1:5" x14ac:dyDescent="0.25">
      <c r="A1165" s="21"/>
      <c r="B1165" s="168"/>
      <c r="C1165" s="28"/>
      <c r="D1165" s="29"/>
      <c r="E1165" s="29"/>
    </row>
    <row r="1166" spans="1:5" x14ac:dyDescent="0.25">
      <c r="A1166" s="21"/>
      <c r="B1166" s="168"/>
      <c r="C1166" s="28"/>
      <c r="D1166" s="29"/>
      <c r="E1166" s="29"/>
    </row>
    <row r="1167" spans="1:5" x14ac:dyDescent="0.25">
      <c r="A1167" s="21"/>
      <c r="B1167" s="168"/>
      <c r="C1167" s="28"/>
      <c r="D1167" s="29"/>
      <c r="E1167" s="29"/>
    </row>
    <row r="1168" spans="1:5" x14ac:dyDescent="0.25">
      <c r="A1168" s="21"/>
      <c r="B1168" s="168"/>
      <c r="C1168" s="28"/>
      <c r="D1168" s="29"/>
      <c r="E1168" s="29"/>
    </row>
    <row r="1169" spans="1:5" x14ac:dyDescent="0.25">
      <c r="A1169" s="21"/>
      <c r="B1169" s="168"/>
      <c r="C1169" s="28"/>
      <c r="D1169" s="29"/>
      <c r="E1169" s="29"/>
    </row>
    <row r="1170" spans="1:5" x14ac:dyDescent="0.25">
      <c r="A1170" s="21"/>
      <c r="B1170" s="168"/>
      <c r="C1170" s="28"/>
      <c r="D1170" s="29"/>
      <c r="E1170" s="29"/>
    </row>
    <row r="1171" spans="1:5" x14ac:dyDescent="0.25">
      <c r="A1171" s="21"/>
      <c r="B1171" s="168"/>
      <c r="C1171" s="28"/>
      <c r="D1171" s="29"/>
      <c r="E1171" s="29"/>
    </row>
    <row r="1172" spans="1:5" x14ac:dyDescent="0.25">
      <c r="A1172" s="21"/>
      <c r="B1172" s="168"/>
      <c r="C1172" s="28"/>
      <c r="D1172" s="29"/>
      <c r="E1172" s="29"/>
    </row>
    <row r="1173" spans="1:5" x14ac:dyDescent="0.25">
      <c r="A1173" s="21"/>
      <c r="B1173" s="168"/>
      <c r="C1173" s="28"/>
      <c r="D1173" s="29"/>
      <c r="E1173" s="29"/>
    </row>
    <row r="1174" spans="1:5" x14ac:dyDescent="0.25">
      <c r="A1174" s="21"/>
      <c r="B1174" s="168"/>
      <c r="C1174" s="28"/>
      <c r="D1174" s="29"/>
      <c r="E1174" s="29"/>
    </row>
    <row r="1175" spans="1:5" x14ac:dyDescent="0.25">
      <c r="A1175" s="21"/>
      <c r="B1175" s="168"/>
      <c r="C1175" s="28"/>
      <c r="D1175" s="29"/>
      <c r="E1175" s="29"/>
    </row>
    <row r="1176" spans="1:5" x14ac:dyDescent="0.25">
      <c r="A1176" s="21"/>
      <c r="B1176" s="168"/>
      <c r="C1176" s="28"/>
      <c r="D1176" s="29"/>
      <c r="E1176" s="29"/>
    </row>
    <row r="1177" spans="1:5" x14ac:dyDescent="0.25">
      <c r="A1177" s="21"/>
      <c r="B1177" s="168"/>
      <c r="C1177" s="28"/>
      <c r="D1177" s="29"/>
      <c r="E1177" s="29"/>
    </row>
    <row r="1178" spans="1:5" x14ac:dyDescent="0.25">
      <c r="A1178" s="21"/>
      <c r="B1178" s="168"/>
      <c r="C1178" s="28"/>
      <c r="D1178" s="29"/>
      <c r="E1178" s="29"/>
    </row>
    <row r="1179" spans="1:5" x14ac:dyDescent="0.25">
      <c r="A1179" s="21"/>
      <c r="B1179" s="168"/>
      <c r="C1179" s="28"/>
      <c r="D1179" s="29"/>
      <c r="E1179" s="29"/>
    </row>
    <row r="1180" spans="1:5" x14ac:dyDescent="0.25">
      <c r="A1180" s="21"/>
      <c r="B1180" s="168"/>
      <c r="C1180" s="28"/>
      <c r="D1180" s="29"/>
      <c r="E1180" s="29"/>
    </row>
    <row r="1181" spans="1:5" x14ac:dyDescent="0.25">
      <c r="A1181" s="21"/>
      <c r="B1181" s="168"/>
      <c r="C1181" s="28"/>
      <c r="D1181" s="29"/>
      <c r="E1181" s="29"/>
    </row>
    <row r="1182" spans="1:5" x14ac:dyDescent="0.25">
      <c r="A1182" s="21"/>
      <c r="B1182" s="168"/>
      <c r="C1182" s="28"/>
      <c r="D1182" s="29"/>
      <c r="E1182" s="29"/>
    </row>
    <row r="1183" spans="1:5" x14ac:dyDescent="0.25">
      <c r="A1183" s="21"/>
      <c r="B1183" s="168"/>
      <c r="C1183" s="28"/>
      <c r="D1183" s="29"/>
      <c r="E1183" s="29"/>
    </row>
    <row r="1184" spans="1:5" x14ac:dyDescent="0.25">
      <c r="A1184" s="21"/>
      <c r="B1184" s="168"/>
      <c r="C1184" s="28"/>
      <c r="D1184" s="29"/>
      <c r="E1184" s="29"/>
    </row>
    <row r="1185" spans="1:5" x14ac:dyDescent="0.25">
      <c r="A1185" s="21"/>
      <c r="B1185" s="168"/>
      <c r="C1185" s="28"/>
      <c r="D1185" s="29"/>
      <c r="E1185" s="29"/>
    </row>
    <row r="1186" spans="1:5" x14ac:dyDescent="0.25">
      <c r="A1186" s="21"/>
      <c r="B1186" s="168"/>
      <c r="C1186" s="28"/>
      <c r="D1186" s="29"/>
      <c r="E1186" s="29"/>
    </row>
    <row r="1187" spans="1:5" x14ac:dyDescent="0.25">
      <c r="A1187" s="21"/>
      <c r="B1187" s="168"/>
      <c r="C1187" s="28"/>
      <c r="D1187" s="29"/>
      <c r="E1187" s="29"/>
    </row>
    <row r="1188" spans="1:5" x14ac:dyDescent="0.25">
      <c r="A1188" s="21"/>
      <c r="B1188" s="168"/>
      <c r="C1188" s="28"/>
      <c r="D1188" s="29"/>
      <c r="E1188" s="29"/>
    </row>
    <row r="1189" spans="1:5" x14ac:dyDescent="0.25">
      <c r="A1189" s="21"/>
      <c r="B1189" s="168"/>
      <c r="C1189" s="28"/>
      <c r="D1189" s="29"/>
      <c r="E1189" s="29"/>
    </row>
    <row r="1190" spans="1:5" x14ac:dyDescent="0.25">
      <c r="A1190" s="21"/>
      <c r="B1190" s="168"/>
      <c r="C1190" s="28"/>
      <c r="D1190" s="29"/>
      <c r="E1190" s="29"/>
    </row>
    <row r="1191" spans="1:5" x14ac:dyDescent="0.25">
      <c r="A1191" s="21"/>
      <c r="B1191" s="168"/>
      <c r="C1191" s="28"/>
      <c r="D1191" s="29"/>
      <c r="E1191" s="29"/>
    </row>
    <row r="1192" spans="1:5" x14ac:dyDescent="0.25">
      <c r="A1192" s="21"/>
      <c r="B1192" s="168"/>
      <c r="C1192" s="28"/>
      <c r="D1192" s="29"/>
      <c r="E1192" s="29"/>
    </row>
    <row r="1193" spans="1:5" x14ac:dyDescent="0.25">
      <c r="A1193" s="21"/>
      <c r="B1193" s="168"/>
      <c r="C1193" s="28"/>
      <c r="D1193" s="29"/>
      <c r="E1193" s="29"/>
    </row>
    <row r="1194" spans="1:5" x14ac:dyDescent="0.25">
      <c r="A1194" s="21"/>
      <c r="B1194" s="168"/>
      <c r="C1194" s="28"/>
      <c r="D1194" s="29"/>
      <c r="E1194" s="29"/>
    </row>
    <row r="1195" spans="1:5" x14ac:dyDescent="0.25">
      <c r="A1195" s="21"/>
      <c r="B1195" s="168"/>
      <c r="C1195" s="28"/>
      <c r="D1195" s="29"/>
      <c r="E1195" s="29"/>
    </row>
    <row r="1196" spans="1:5" x14ac:dyDescent="0.25">
      <c r="A1196" s="21"/>
      <c r="B1196" s="168"/>
      <c r="C1196" s="28"/>
      <c r="D1196" s="29"/>
      <c r="E1196" s="29"/>
    </row>
    <row r="1197" spans="1:5" x14ac:dyDescent="0.25">
      <c r="A1197" s="21"/>
      <c r="B1197" s="168"/>
      <c r="C1197" s="28"/>
      <c r="D1197" s="29"/>
      <c r="E1197" s="29"/>
    </row>
    <row r="1198" spans="1:5" x14ac:dyDescent="0.25">
      <c r="A1198" s="21"/>
      <c r="B1198" s="168"/>
      <c r="C1198" s="28"/>
      <c r="D1198" s="29"/>
      <c r="E1198" s="29"/>
    </row>
    <row r="1199" spans="1:5" x14ac:dyDescent="0.25">
      <c r="A1199" s="21"/>
      <c r="B1199" s="168"/>
      <c r="C1199" s="28"/>
      <c r="D1199" s="29"/>
      <c r="E1199" s="29"/>
    </row>
    <row r="1200" spans="1:5" x14ac:dyDescent="0.25">
      <c r="A1200" s="21"/>
      <c r="B1200" s="168"/>
      <c r="C1200" s="28"/>
      <c r="D1200" s="29"/>
      <c r="E1200" s="29"/>
    </row>
    <row r="1201" spans="1:5" x14ac:dyDescent="0.25">
      <c r="A1201" s="21"/>
      <c r="B1201" s="168"/>
      <c r="C1201" s="28"/>
      <c r="D1201" s="29"/>
      <c r="E1201" s="29"/>
    </row>
    <row r="1202" spans="1:5" x14ac:dyDescent="0.25">
      <c r="A1202" s="21"/>
      <c r="B1202" s="168"/>
      <c r="C1202" s="28"/>
      <c r="D1202" s="29"/>
      <c r="E1202" s="29"/>
    </row>
    <row r="1203" spans="1:5" x14ac:dyDescent="0.25">
      <c r="A1203" s="21"/>
      <c r="B1203" s="168"/>
      <c r="C1203" s="28"/>
      <c r="D1203" s="29"/>
      <c r="E1203" s="29"/>
    </row>
    <row r="1204" spans="1:5" x14ac:dyDescent="0.25">
      <c r="A1204" s="21"/>
      <c r="B1204" s="168"/>
      <c r="C1204" s="28"/>
      <c r="D1204" s="29"/>
      <c r="E1204" s="29"/>
    </row>
    <row r="1205" spans="1:5" x14ac:dyDescent="0.25">
      <c r="A1205" s="21"/>
      <c r="B1205" s="168"/>
      <c r="C1205" s="28"/>
      <c r="D1205" s="29"/>
      <c r="E1205" s="29"/>
    </row>
    <row r="1206" spans="1:5" x14ac:dyDescent="0.25">
      <c r="A1206" s="21"/>
      <c r="B1206" s="168"/>
      <c r="C1206" s="28"/>
      <c r="D1206" s="29"/>
      <c r="E1206" s="29"/>
    </row>
    <row r="1207" spans="1:5" x14ac:dyDescent="0.25">
      <c r="A1207" s="21"/>
      <c r="B1207" s="168"/>
      <c r="C1207" s="28"/>
      <c r="D1207" s="29"/>
      <c r="E1207" s="29"/>
    </row>
    <row r="1208" spans="1:5" x14ac:dyDescent="0.25">
      <c r="A1208" s="21"/>
      <c r="B1208" s="168"/>
      <c r="C1208" s="28"/>
      <c r="D1208" s="29"/>
      <c r="E1208" s="29"/>
    </row>
    <row r="1209" spans="1:5" x14ac:dyDescent="0.25">
      <c r="A1209" s="21"/>
      <c r="B1209" s="168"/>
      <c r="C1209" s="28"/>
      <c r="D1209" s="29"/>
      <c r="E1209" s="29"/>
    </row>
    <row r="1210" spans="1:5" x14ac:dyDescent="0.25">
      <c r="A1210" s="21"/>
      <c r="B1210" s="168"/>
      <c r="C1210" s="28"/>
      <c r="D1210" s="29"/>
      <c r="E1210" s="29"/>
    </row>
    <row r="1211" spans="1:5" x14ac:dyDescent="0.25">
      <c r="A1211" s="21"/>
      <c r="B1211" s="168"/>
      <c r="C1211" s="28"/>
      <c r="D1211" s="29"/>
      <c r="E1211" s="29"/>
    </row>
    <row r="1212" spans="1:5" x14ac:dyDescent="0.25">
      <c r="A1212" s="21"/>
      <c r="B1212" s="168"/>
      <c r="C1212" s="28"/>
      <c r="D1212" s="29"/>
      <c r="E1212" s="29"/>
    </row>
    <row r="1213" spans="1:5" x14ac:dyDescent="0.25">
      <c r="A1213" s="21"/>
      <c r="B1213" s="168"/>
      <c r="C1213" s="28"/>
      <c r="D1213" s="29"/>
      <c r="E1213" s="29"/>
    </row>
    <row r="1214" spans="1:5" x14ac:dyDescent="0.25">
      <c r="A1214" s="21"/>
      <c r="B1214" s="168"/>
      <c r="C1214" s="28"/>
      <c r="D1214" s="29"/>
      <c r="E1214" s="29"/>
    </row>
    <row r="1215" spans="1:5" x14ac:dyDescent="0.25">
      <c r="A1215" s="21"/>
      <c r="B1215" s="168"/>
      <c r="C1215" s="28"/>
      <c r="D1215" s="29"/>
      <c r="E1215" s="29"/>
    </row>
    <row r="1216" spans="1:5" x14ac:dyDescent="0.25">
      <c r="A1216" s="21"/>
      <c r="B1216" s="168"/>
      <c r="C1216" s="28"/>
      <c r="D1216" s="29"/>
      <c r="E1216" s="29"/>
    </row>
    <row r="1217" spans="1:5" x14ac:dyDescent="0.25">
      <c r="A1217" s="21"/>
      <c r="B1217" s="168"/>
      <c r="C1217" s="28"/>
      <c r="D1217" s="29"/>
      <c r="E1217" s="29"/>
    </row>
    <row r="1218" spans="1:5" x14ac:dyDescent="0.25">
      <c r="A1218" s="21"/>
      <c r="B1218" s="168"/>
      <c r="C1218" s="28"/>
      <c r="D1218" s="29"/>
      <c r="E1218" s="29"/>
    </row>
    <row r="1219" spans="1:5" x14ac:dyDescent="0.25">
      <c r="A1219" s="21"/>
      <c r="B1219" s="168"/>
      <c r="C1219" s="28"/>
      <c r="D1219" s="29"/>
      <c r="E1219" s="29"/>
    </row>
    <row r="1220" spans="1:5" x14ac:dyDescent="0.25">
      <c r="A1220" s="21"/>
      <c r="B1220" s="168"/>
      <c r="C1220" s="28"/>
      <c r="D1220" s="29"/>
      <c r="E1220" s="29"/>
    </row>
    <row r="1221" spans="1:5" x14ac:dyDescent="0.25">
      <c r="A1221" s="21"/>
      <c r="B1221" s="168"/>
      <c r="C1221" s="28"/>
      <c r="D1221" s="29"/>
      <c r="E1221" s="29"/>
    </row>
    <row r="1222" spans="1:5" x14ac:dyDescent="0.25">
      <c r="A1222" s="21"/>
      <c r="B1222" s="168"/>
      <c r="C1222" s="28"/>
      <c r="D1222" s="29"/>
      <c r="E1222" s="29"/>
    </row>
    <row r="1223" spans="1:5" x14ac:dyDescent="0.25">
      <c r="A1223" s="21"/>
      <c r="B1223" s="168"/>
      <c r="C1223" s="28"/>
      <c r="D1223" s="29"/>
      <c r="E1223" s="29"/>
    </row>
    <row r="1224" spans="1:5" x14ac:dyDescent="0.25">
      <c r="A1224" s="21"/>
      <c r="B1224" s="168"/>
      <c r="C1224" s="28"/>
      <c r="D1224" s="29"/>
      <c r="E1224" s="29"/>
    </row>
    <row r="1225" spans="1:5" x14ac:dyDescent="0.25">
      <c r="A1225" s="21"/>
      <c r="B1225" s="168"/>
      <c r="C1225" s="28"/>
      <c r="D1225" s="29"/>
      <c r="E1225" s="29"/>
    </row>
    <row r="1226" spans="1:5" x14ac:dyDescent="0.25">
      <c r="A1226" s="21"/>
      <c r="B1226" s="168"/>
      <c r="C1226" s="28"/>
      <c r="D1226" s="29"/>
      <c r="E1226" s="29"/>
    </row>
    <row r="1227" spans="1:5" x14ac:dyDescent="0.25">
      <c r="A1227" s="21"/>
      <c r="B1227" s="168"/>
      <c r="C1227" s="28"/>
      <c r="D1227" s="29"/>
      <c r="E1227" s="29"/>
    </row>
    <row r="1228" spans="1:5" x14ac:dyDescent="0.25">
      <c r="A1228" s="21"/>
      <c r="B1228" s="168"/>
      <c r="C1228" s="28"/>
      <c r="D1228" s="29"/>
      <c r="E1228" s="29"/>
    </row>
    <row r="1229" spans="1:5" x14ac:dyDescent="0.25">
      <c r="A1229" s="21"/>
      <c r="B1229" s="168"/>
      <c r="C1229" s="28"/>
      <c r="D1229" s="29"/>
      <c r="E1229" s="29"/>
    </row>
    <row r="1230" spans="1:5" x14ac:dyDescent="0.25">
      <c r="A1230" s="21"/>
      <c r="B1230" s="168"/>
      <c r="C1230" s="28"/>
      <c r="D1230" s="29"/>
      <c r="E1230" s="29"/>
    </row>
    <row r="1231" spans="1:5" x14ac:dyDescent="0.25">
      <c r="A1231" s="21"/>
      <c r="B1231" s="168"/>
      <c r="C1231" s="28"/>
      <c r="D1231" s="29"/>
      <c r="E1231" s="29"/>
    </row>
    <row r="1232" spans="1:5" x14ac:dyDescent="0.25">
      <c r="A1232" s="21"/>
      <c r="B1232" s="168"/>
      <c r="C1232" s="28"/>
      <c r="D1232" s="29"/>
      <c r="E1232" s="29"/>
    </row>
    <row r="1233" spans="1:5" x14ac:dyDescent="0.25">
      <c r="A1233" s="21"/>
      <c r="B1233" s="168"/>
      <c r="C1233" s="28"/>
      <c r="D1233" s="29"/>
      <c r="E1233" s="29"/>
    </row>
    <row r="1234" spans="1:5" x14ac:dyDescent="0.25">
      <c r="A1234" s="21"/>
      <c r="B1234" s="168"/>
      <c r="C1234" s="28"/>
      <c r="D1234" s="29"/>
      <c r="E1234" s="29"/>
    </row>
    <row r="1235" spans="1:5" x14ac:dyDescent="0.25">
      <c r="A1235" s="21"/>
      <c r="B1235" s="168"/>
      <c r="C1235" s="28"/>
      <c r="D1235" s="29"/>
      <c r="E1235" s="29"/>
    </row>
    <row r="1236" spans="1:5" x14ac:dyDescent="0.25">
      <c r="A1236" s="21"/>
      <c r="B1236" s="168"/>
      <c r="C1236" s="28"/>
      <c r="D1236" s="29"/>
      <c r="E1236" s="29"/>
    </row>
    <row r="1237" spans="1:5" x14ac:dyDescent="0.25">
      <c r="A1237" s="21"/>
      <c r="B1237" s="168"/>
      <c r="C1237" s="28"/>
      <c r="D1237" s="29"/>
      <c r="E1237" s="29"/>
    </row>
    <row r="1238" spans="1:5" x14ac:dyDescent="0.25">
      <c r="A1238" s="21"/>
      <c r="B1238" s="168"/>
      <c r="C1238" s="28"/>
      <c r="D1238" s="29"/>
      <c r="E1238" s="29"/>
    </row>
    <row r="1239" spans="1:5" x14ac:dyDescent="0.25">
      <c r="A1239" s="21"/>
      <c r="B1239" s="168"/>
      <c r="C1239" s="28"/>
      <c r="D1239" s="29"/>
      <c r="E1239" s="29"/>
    </row>
    <row r="1240" spans="1:5" x14ac:dyDescent="0.25">
      <c r="A1240" s="21"/>
      <c r="B1240" s="168"/>
      <c r="C1240" s="28"/>
      <c r="D1240" s="29"/>
      <c r="E1240" s="29"/>
    </row>
    <row r="1241" spans="1:5" x14ac:dyDescent="0.25">
      <c r="A1241" s="21"/>
      <c r="B1241" s="168"/>
      <c r="C1241" s="28"/>
      <c r="D1241" s="29"/>
      <c r="E1241" s="29"/>
    </row>
    <row r="1242" spans="1:5" x14ac:dyDescent="0.25">
      <c r="A1242" s="21"/>
      <c r="B1242" s="168"/>
      <c r="C1242" s="28"/>
      <c r="D1242" s="29"/>
      <c r="E1242" s="29"/>
    </row>
    <row r="1243" spans="1:5" x14ac:dyDescent="0.25">
      <c r="A1243" s="21"/>
      <c r="B1243" s="168"/>
      <c r="C1243" s="28"/>
      <c r="D1243" s="29"/>
      <c r="E1243" s="29"/>
    </row>
    <row r="1244" spans="1:5" x14ac:dyDescent="0.25">
      <c r="A1244" s="21"/>
      <c r="B1244" s="168"/>
      <c r="C1244" s="28"/>
      <c r="D1244" s="29"/>
      <c r="E1244" s="29"/>
    </row>
    <row r="1245" spans="1:5" x14ac:dyDescent="0.25">
      <c r="A1245" s="21"/>
      <c r="B1245" s="168"/>
      <c r="C1245" s="28"/>
      <c r="D1245" s="29"/>
      <c r="E1245" s="29"/>
    </row>
    <row r="1246" spans="1:5" x14ac:dyDescent="0.25">
      <c r="A1246" s="21"/>
      <c r="B1246" s="168"/>
      <c r="C1246" s="28"/>
      <c r="D1246" s="29"/>
      <c r="E1246" s="29"/>
    </row>
    <row r="1247" spans="1:5" x14ac:dyDescent="0.25">
      <c r="A1247" s="21"/>
      <c r="B1247" s="168"/>
      <c r="C1247" s="28"/>
      <c r="D1247" s="29"/>
      <c r="E1247" s="29"/>
    </row>
    <row r="1248" spans="1:5" x14ac:dyDescent="0.25">
      <c r="A1248" s="21"/>
      <c r="B1248" s="168"/>
      <c r="C1248" s="28"/>
      <c r="D1248" s="29"/>
      <c r="E1248" s="29"/>
    </row>
    <row r="1249" spans="1:5" x14ac:dyDescent="0.25">
      <c r="A1249" s="21"/>
      <c r="B1249" s="168"/>
      <c r="C1249" s="28"/>
      <c r="D1249" s="29"/>
      <c r="E1249" s="29"/>
    </row>
    <row r="1250" spans="1:5" x14ac:dyDescent="0.25">
      <c r="A1250" s="21"/>
      <c r="B1250" s="168"/>
      <c r="C1250" s="28"/>
      <c r="D1250" s="29"/>
      <c r="E1250" s="29"/>
    </row>
    <row r="1251" spans="1:5" x14ac:dyDescent="0.25">
      <c r="A1251" s="21"/>
      <c r="B1251" s="168"/>
      <c r="C1251" s="28"/>
      <c r="D1251" s="29"/>
      <c r="E1251" s="29"/>
    </row>
    <row r="1252" spans="1:5" x14ac:dyDescent="0.25">
      <c r="A1252" s="21"/>
      <c r="B1252" s="168"/>
      <c r="C1252" s="28"/>
      <c r="D1252" s="29"/>
      <c r="E1252" s="29"/>
    </row>
    <row r="1253" spans="1:5" x14ac:dyDescent="0.25">
      <c r="A1253" s="21"/>
      <c r="B1253" s="168"/>
      <c r="C1253" s="28"/>
      <c r="D1253" s="29"/>
      <c r="E1253" s="29"/>
    </row>
    <row r="1254" spans="1:5" x14ac:dyDescent="0.25">
      <c r="A1254" s="21"/>
      <c r="B1254" s="168"/>
      <c r="C1254" s="28"/>
      <c r="D1254" s="29"/>
      <c r="E1254" s="29"/>
    </row>
    <row r="1255" spans="1:5" x14ac:dyDescent="0.25">
      <c r="A1255" s="21"/>
      <c r="B1255" s="168"/>
      <c r="C1255" s="28"/>
      <c r="D1255" s="29"/>
      <c r="E1255" s="29"/>
    </row>
    <row r="1256" spans="1:5" x14ac:dyDescent="0.25">
      <c r="A1256" s="21"/>
      <c r="B1256" s="168"/>
      <c r="C1256" s="28"/>
      <c r="D1256" s="29"/>
      <c r="E1256" s="29"/>
    </row>
    <row r="1257" spans="1:5" x14ac:dyDescent="0.25">
      <c r="A1257" s="21"/>
      <c r="B1257" s="168"/>
      <c r="C1257" s="28"/>
      <c r="D1257" s="29"/>
      <c r="E1257" s="29"/>
    </row>
    <row r="1258" spans="1:5" x14ac:dyDescent="0.25">
      <c r="A1258" s="21"/>
      <c r="B1258" s="168"/>
      <c r="C1258" s="28"/>
      <c r="D1258" s="29"/>
      <c r="E1258" s="29"/>
    </row>
    <row r="1259" spans="1:5" x14ac:dyDescent="0.25">
      <c r="A1259" s="21"/>
      <c r="B1259" s="168"/>
      <c r="C1259" s="28"/>
      <c r="D1259" s="29"/>
      <c r="E1259" s="29"/>
    </row>
    <row r="1260" spans="1:5" x14ac:dyDescent="0.25">
      <c r="A1260" s="21"/>
      <c r="B1260" s="168"/>
      <c r="C1260" s="28"/>
      <c r="D1260" s="29"/>
      <c r="E1260" s="29"/>
    </row>
    <row r="1261" spans="1:5" x14ac:dyDescent="0.25">
      <c r="A1261" s="21"/>
      <c r="B1261" s="168"/>
      <c r="C1261" s="28"/>
      <c r="D1261" s="29"/>
      <c r="E1261" s="29"/>
    </row>
    <row r="1262" spans="1:5" x14ac:dyDescent="0.25">
      <c r="A1262" s="21"/>
      <c r="B1262" s="168"/>
      <c r="C1262" s="28"/>
      <c r="D1262" s="29"/>
      <c r="E1262" s="29"/>
    </row>
    <row r="1263" spans="1:5" x14ac:dyDescent="0.25">
      <c r="A1263" s="21"/>
      <c r="B1263" s="168"/>
      <c r="C1263" s="28"/>
      <c r="D1263" s="29"/>
      <c r="E1263" s="29"/>
    </row>
    <row r="1264" spans="1:5" x14ac:dyDescent="0.25">
      <c r="A1264" s="21"/>
      <c r="B1264" s="168"/>
      <c r="C1264" s="28"/>
      <c r="D1264" s="29"/>
      <c r="E1264" s="29"/>
    </row>
    <row r="1265" spans="1:5" x14ac:dyDescent="0.25">
      <c r="A1265" s="21"/>
      <c r="B1265" s="168"/>
      <c r="C1265" s="28"/>
      <c r="D1265" s="29"/>
      <c r="E1265" s="29"/>
    </row>
    <row r="1266" spans="1:5" x14ac:dyDescent="0.25">
      <c r="A1266" s="21"/>
      <c r="B1266" s="168"/>
      <c r="C1266" s="28"/>
      <c r="D1266" s="29"/>
      <c r="E1266" s="29"/>
    </row>
    <row r="1267" spans="1:5" x14ac:dyDescent="0.25">
      <c r="A1267" s="21"/>
      <c r="B1267" s="168"/>
      <c r="C1267" s="28"/>
      <c r="D1267" s="29"/>
      <c r="E1267" s="29"/>
    </row>
    <row r="1268" spans="1:5" x14ac:dyDescent="0.25">
      <c r="A1268" s="21"/>
      <c r="B1268" s="168"/>
      <c r="C1268" s="28"/>
      <c r="D1268" s="29"/>
      <c r="E1268" s="29"/>
    </row>
    <row r="1269" spans="1:5" x14ac:dyDescent="0.25">
      <c r="A1269" s="21"/>
      <c r="B1269" s="168"/>
      <c r="C1269" s="28"/>
      <c r="D1269" s="29"/>
      <c r="E1269" s="29"/>
    </row>
    <row r="1270" spans="1:5" x14ac:dyDescent="0.25">
      <c r="A1270" s="21"/>
      <c r="B1270" s="168"/>
      <c r="C1270" s="28"/>
      <c r="D1270" s="29"/>
      <c r="E1270" s="29"/>
    </row>
    <row r="1271" spans="1:5" x14ac:dyDescent="0.25">
      <c r="A1271" s="21"/>
      <c r="B1271" s="168"/>
      <c r="C1271" s="28"/>
      <c r="D1271" s="29"/>
      <c r="E1271" s="29"/>
    </row>
    <row r="1272" spans="1:5" x14ac:dyDescent="0.25">
      <c r="A1272" s="21"/>
      <c r="B1272" s="168"/>
      <c r="C1272" s="28"/>
      <c r="D1272" s="29"/>
      <c r="E1272" s="29"/>
    </row>
    <row r="1273" spans="1:5" x14ac:dyDescent="0.25">
      <c r="A1273" s="21"/>
      <c r="B1273" s="168"/>
      <c r="C1273" s="28"/>
      <c r="D1273" s="29"/>
      <c r="E1273" s="29"/>
    </row>
    <row r="1274" spans="1:5" x14ac:dyDescent="0.25">
      <c r="A1274" s="21"/>
      <c r="B1274" s="168"/>
      <c r="C1274" s="28"/>
      <c r="D1274" s="29"/>
      <c r="E1274" s="29"/>
    </row>
    <row r="1275" spans="1:5" x14ac:dyDescent="0.25">
      <c r="A1275" s="21"/>
      <c r="B1275" s="168"/>
      <c r="C1275" s="28"/>
      <c r="D1275" s="29"/>
      <c r="E1275" s="29"/>
    </row>
    <row r="1276" spans="1:5" x14ac:dyDescent="0.25">
      <c r="A1276" s="21"/>
      <c r="B1276" s="168"/>
      <c r="C1276" s="28"/>
      <c r="D1276" s="29"/>
      <c r="E1276" s="29"/>
    </row>
    <row r="1277" spans="1:5" x14ac:dyDescent="0.25">
      <c r="A1277" s="21"/>
      <c r="B1277" s="168"/>
      <c r="C1277" s="28"/>
      <c r="D1277" s="29"/>
      <c r="E1277" s="29"/>
    </row>
    <row r="1278" spans="1:5" x14ac:dyDescent="0.25">
      <c r="A1278" s="21"/>
      <c r="B1278" s="168"/>
      <c r="C1278" s="28"/>
      <c r="D1278" s="29"/>
      <c r="E1278" s="29"/>
    </row>
    <row r="1279" spans="1:5" x14ac:dyDescent="0.25">
      <c r="A1279" s="21"/>
      <c r="B1279" s="168"/>
      <c r="C1279" s="28"/>
      <c r="D1279" s="29"/>
      <c r="E1279" s="29"/>
    </row>
    <row r="1280" spans="1:5" x14ac:dyDescent="0.25">
      <c r="A1280" s="21"/>
      <c r="B1280" s="168"/>
      <c r="C1280" s="28"/>
      <c r="D1280" s="29"/>
      <c r="E1280" s="29"/>
    </row>
    <row r="1281" spans="1:5" x14ac:dyDescent="0.25">
      <c r="A1281" s="21"/>
      <c r="B1281" s="168"/>
      <c r="C1281" s="28"/>
      <c r="D1281" s="29"/>
      <c r="E1281" s="29"/>
    </row>
    <row r="1282" spans="1:5" x14ac:dyDescent="0.25">
      <c r="A1282" s="21"/>
      <c r="B1282" s="168"/>
      <c r="C1282" s="28"/>
      <c r="D1282" s="29"/>
      <c r="E1282" s="29"/>
    </row>
    <row r="1283" spans="1:5" x14ac:dyDescent="0.25">
      <c r="A1283" s="21"/>
      <c r="B1283" s="168"/>
      <c r="C1283" s="28"/>
      <c r="D1283" s="29"/>
      <c r="E1283" s="29"/>
    </row>
    <row r="1284" spans="1:5" x14ac:dyDescent="0.25">
      <c r="A1284" s="21"/>
      <c r="B1284" s="168"/>
      <c r="C1284" s="28"/>
      <c r="D1284" s="29"/>
      <c r="E1284" s="29"/>
    </row>
    <row r="1285" spans="1:5" x14ac:dyDescent="0.25">
      <c r="A1285" s="21"/>
      <c r="B1285" s="168"/>
      <c r="C1285" s="28"/>
      <c r="D1285" s="29"/>
      <c r="E1285" s="29"/>
    </row>
    <row r="1286" spans="1:5" x14ac:dyDescent="0.25">
      <c r="A1286" s="21"/>
      <c r="B1286" s="168"/>
      <c r="C1286" s="28"/>
      <c r="D1286" s="29"/>
      <c r="E1286" s="29"/>
    </row>
    <row r="1287" spans="1:5" x14ac:dyDescent="0.25">
      <c r="A1287" s="21"/>
      <c r="B1287" s="168"/>
      <c r="C1287" s="28"/>
      <c r="D1287" s="29"/>
      <c r="E1287" s="29"/>
    </row>
    <row r="1288" spans="1:5" x14ac:dyDescent="0.25">
      <c r="A1288" s="21"/>
      <c r="B1288" s="168"/>
      <c r="C1288" s="28"/>
      <c r="D1288" s="29"/>
      <c r="E1288" s="29"/>
    </row>
    <row r="1289" spans="1:5" x14ac:dyDescent="0.25">
      <c r="A1289" s="21"/>
      <c r="B1289" s="168"/>
      <c r="C1289" s="28"/>
      <c r="D1289" s="29"/>
      <c r="E1289" s="29"/>
    </row>
    <row r="1290" spans="1:5" x14ac:dyDescent="0.25">
      <c r="A1290" s="21"/>
      <c r="B1290" s="168"/>
      <c r="C1290" s="28"/>
      <c r="D1290" s="29"/>
      <c r="E1290" s="29"/>
    </row>
    <row r="1291" spans="1:5" x14ac:dyDescent="0.25">
      <c r="A1291" s="21"/>
      <c r="B1291" s="168"/>
      <c r="C1291" s="28"/>
      <c r="D1291" s="29"/>
      <c r="E1291" s="29"/>
    </row>
    <row r="1292" spans="1:5" x14ac:dyDescent="0.25">
      <c r="A1292" s="21"/>
      <c r="B1292" s="168"/>
      <c r="C1292" s="28"/>
      <c r="D1292" s="29"/>
      <c r="E1292" s="29"/>
    </row>
    <row r="1293" spans="1:5" x14ac:dyDescent="0.25">
      <c r="A1293" s="21"/>
      <c r="B1293" s="168"/>
      <c r="C1293" s="28"/>
      <c r="D1293" s="29"/>
      <c r="E1293" s="29"/>
    </row>
    <row r="1294" spans="1:5" x14ac:dyDescent="0.25">
      <c r="A1294" s="21"/>
      <c r="B1294" s="168"/>
      <c r="C1294" s="28"/>
      <c r="D1294" s="29"/>
      <c r="E1294" s="29"/>
    </row>
    <row r="1295" spans="1:5" x14ac:dyDescent="0.25">
      <c r="A1295" s="21"/>
      <c r="B1295" s="168"/>
      <c r="C1295" s="28"/>
      <c r="D1295" s="29"/>
      <c r="E1295" s="29"/>
    </row>
    <row r="1296" spans="1:5" x14ac:dyDescent="0.25">
      <c r="A1296" s="21"/>
      <c r="B1296" s="168"/>
      <c r="C1296" s="28"/>
      <c r="D1296" s="29"/>
      <c r="E1296" s="29"/>
    </row>
    <row r="1297" spans="1:5" x14ac:dyDescent="0.25">
      <c r="A1297" s="21"/>
      <c r="B1297" s="168"/>
      <c r="C1297" s="28"/>
      <c r="D1297" s="29"/>
      <c r="E1297" s="29"/>
    </row>
    <row r="1298" spans="1:5" x14ac:dyDescent="0.25">
      <c r="A1298" s="21"/>
      <c r="B1298" s="168"/>
      <c r="C1298" s="28"/>
      <c r="D1298" s="29"/>
      <c r="E1298" s="29"/>
    </row>
    <row r="1299" spans="1:5" x14ac:dyDescent="0.25">
      <c r="A1299" s="21"/>
      <c r="B1299" s="168"/>
      <c r="C1299" s="28"/>
      <c r="D1299" s="29"/>
      <c r="E1299" s="29"/>
    </row>
    <row r="1300" spans="1:5" x14ac:dyDescent="0.25">
      <c r="A1300" s="21"/>
      <c r="B1300" s="168"/>
      <c r="C1300" s="28"/>
      <c r="D1300" s="29"/>
      <c r="E1300" s="29"/>
    </row>
    <row r="1301" spans="1:5" x14ac:dyDescent="0.25">
      <c r="A1301" s="21"/>
      <c r="B1301" s="168"/>
      <c r="C1301" s="28"/>
      <c r="D1301" s="29"/>
      <c r="E1301" s="29"/>
    </row>
    <row r="1302" spans="1:5" x14ac:dyDescent="0.25">
      <c r="A1302" s="21"/>
      <c r="B1302" s="168"/>
      <c r="C1302" s="28"/>
      <c r="D1302" s="29"/>
      <c r="E1302" s="29"/>
    </row>
    <row r="1303" spans="1:5" x14ac:dyDescent="0.25">
      <c r="A1303" s="21"/>
      <c r="B1303" s="168"/>
      <c r="C1303" s="28"/>
      <c r="D1303" s="29"/>
      <c r="E1303" s="29"/>
    </row>
    <row r="1304" spans="1:5" x14ac:dyDescent="0.25">
      <c r="A1304" s="21"/>
      <c r="B1304" s="168"/>
      <c r="C1304" s="28"/>
      <c r="D1304" s="29"/>
      <c r="E1304" s="29"/>
    </row>
    <row r="1305" spans="1:5" x14ac:dyDescent="0.25">
      <c r="A1305" s="21"/>
      <c r="B1305" s="168"/>
      <c r="C1305" s="28"/>
      <c r="D1305" s="29"/>
      <c r="E1305" s="29"/>
    </row>
    <row r="1306" spans="1:5" x14ac:dyDescent="0.25">
      <c r="A1306" s="21"/>
      <c r="B1306" s="168"/>
      <c r="C1306" s="28"/>
      <c r="D1306" s="29"/>
      <c r="E1306" s="29"/>
    </row>
    <row r="1307" spans="1:5" x14ac:dyDescent="0.25">
      <c r="A1307" s="21"/>
      <c r="B1307" s="168"/>
      <c r="C1307" s="28"/>
      <c r="D1307" s="29"/>
      <c r="E1307" s="29"/>
    </row>
    <row r="1308" spans="1:5" x14ac:dyDescent="0.25">
      <c r="A1308" s="21"/>
      <c r="B1308" s="168"/>
      <c r="C1308" s="28"/>
      <c r="D1308" s="29"/>
      <c r="E1308" s="29"/>
    </row>
    <row r="1309" spans="1:5" x14ac:dyDescent="0.25">
      <c r="A1309" s="21"/>
      <c r="B1309" s="168"/>
      <c r="C1309" s="28"/>
      <c r="D1309" s="29"/>
      <c r="E1309" s="29"/>
    </row>
    <row r="1310" spans="1:5" x14ac:dyDescent="0.25">
      <c r="A1310" s="21"/>
      <c r="B1310" s="168"/>
      <c r="C1310" s="28"/>
      <c r="D1310" s="29"/>
      <c r="E1310" s="29"/>
    </row>
    <row r="1311" spans="1:5" x14ac:dyDescent="0.25">
      <c r="A1311" s="21"/>
      <c r="B1311" s="168"/>
      <c r="C1311" s="28"/>
      <c r="D1311" s="29"/>
      <c r="E1311" s="29"/>
    </row>
    <row r="1312" spans="1:5" x14ac:dyDescent="0.25">
      <c r="A1312" s="21"/>
      <c r="B1312" s="168"/>
      <c r="C1312" s="28"/>
      <c r="D1312" s="29"/>
      <c r="E1312" s="29"/>
    </row>
    <row r="1313" spans="1:5" x14ac:dyDescent="0.25">
      <c r="A1313" s="21"/>
      <c r="B1313" s="168"/>
      <c r="C1313" s="28"/>
      <c r="D1313" s="29"/>
      <c r="E1313" s="29"/>
    </row>
    <row r="1314" spans="1:5" x14ac:dyDescent="0.25">
      <c r="A1314" s="21"/>
      <c r="B1314" s="168"/>
      <c r="C1314" s="28"/>
      <c r="D1314" s="29"/>
      <c r="E1314" s="29"/>
    </row>
    <row r="1315" spans="1:5" x14ac:dyDescent="0.25">
      <c r="A1315" s="21"/>
      <c r="B1315" s="168"/>
      <c r="C1315" s="28"/>
      <c r="D1315" s="29"/>
      <c r="E1315" s="29"/>
    </row>
    <row r="1316" spans="1:5" x14ac:dyDescent="0.25">
      <c r="A1316" s="21"/>
      <c r="B1316" s="168"/>
      <c r="C1316" s="28"/>
      <c r="D1316" s="29"/>
      <c r="E1316" s="29"/>
    </row>
    <row r="1317" spans="1:5" x14ac:dyDescent="0.25">
      <c r="A1317" s="21"/>
      <c r="B1317" s="168"/>
      <c r="C1317" s="28"/>
      <c r="D1317" s="29"/>
      <c r="E1317" s="29"/>
    </row>
    <row r="1318" spans="1:5" x14ac:dyDescent="0.25">
      <c r="A1318" s="21"/>
      <c r="B1318" s="168"/>
      <c r="C1318" s="28"/>
      <c r="D1318" s="29"/>
      <c r="E1318" s="29"/>
    </row>
    <row r="1319" spans="1:5" x14ac:dyDescent="0.25">
      <c r="A1319" s="21"/>
      <c r="B1319" s="168"/>
      <c r="C1319" s="28"/>
      <c r="D1319" s="29"/>
      <c r="E1319" s="29"/>
    </row>
    <row r="1320" spans="1:5" x14ac:dyDescent="0.25">
      <c r="A1320" s="21"/>
      <c r="B1320" s="168"/>
      <c r="C1320" s="28"/>
      <c r="D1320" s="29"/>
      <c r="E1320" s="29"/>
    </row>
    <row r="1321" spans="1:5" x14ac:dyDescent="0.25">
      <c r="A1321" s="21"/>
      <c r="B1321" s="168"/>
      <c r="C1321" s="28"/>
      <c r="D1321" s="29"/>
      <c r="E1321" s="29"/>
    </row>
    <row r="1322" spans="1:5" x14ac:dyDescent="0.25">
      <c r="A1322" s="21"/>
      <c r="B1322" s="168"/>
      <c r="C1322" s="28"/>
      <c r="D1322" s="29"/>
      <c r="E1322" s="29"/>
    </row>
    <row r="1323" spans="1:5" x14ac:dyDescent="0.25">
      <c r="A1323" s="21"/>
      <c r="B1323" s="168"/>
      <c r="C1323" s="28"/>
      <c r="D1323" s="29"/>
      <c r="E1323" s="29"/>
    </row>
    <row r="1324" spans="1:5" x14ac:dyDescent="0.25">
      <c r="A1324" s="21"/>
      <c r="B1324" s="168"/>
      <c r="C1324" s="28"/>
      <c r="D1324" s="29"/>
      <c r="E1324" s="29"/>
    </row>
    <row r="1325" spans="1:5" x14ac:dyDescent="0.25">
      <c r="A1325" s="21"/>
      <c r="B1325" s="168"/>
      <c r="C1325" s="28"/>
      <c r="D1325" s="29"/>
      <c r="E1325" s="29"/>
    </row>
    <row r="1326" spans="1:5" x14ac:dyDescent="0.25">
      <c r="A1326" s="21"/>
      <c r="B1326" s="168"/>
      <c r="C1326" s="28"/>
      <c r="D1326" s="29"/>
      <c r="E1326" s="29"/>
    </row>
    <row r="1327" spans="1:5" x14ac:dyDescent="0.25">
      <c r="A1327" s="21"/>
      <c r="B1327" s="168"/>
      <c r="C1327" s="28"/>
      <c r="D1327" s="29"/>
      <c r="E1327" s="29"/>
    </row>
    <row r="1328" spans="1:5" x14ac:dyDescent="0.25">
      <c r="A1328" s="21"/>
      <c r="B1328" s="168"/>
      <c r="C1328" s="28"/>
      <c r="D1328" s="29"/>
      <c r="E1328" s="29"/>
    </row>
    <row r="1329" spans="1:5" x14ac:dyDescent="0.25">
      <c r="A1329" s="21"/>
      <c r="B1329" s="168"/>
      <c r="C1329" s="28"/>
      <c r="D1329" s="29"/>
      <c r="E1329" s="29"/>
    </row>
    <row r="1330" spans="1:5" x14ac:dyDescent="0.25">
      <c r="A1330" s="21"/>
      <c r="B1330" s="168"/>
      <c r="C1330" s="28"/>
      <c r="D1330" s="29"/>
      <c r="E1330" s="29"/>
    </row>
    <row r="1331" spans="1:5" x14ac:dyDescent="0.25">
      <c r="A1331" s="21"/>
      <c r="B1331" s="168"/>
      <c r="C1331" s="28"/>
      <c r="D1331" s="29"/>
      <c r="E1331" s="29"/>
    </row>
    <row r="1332" spans="1:5" x14ac:dyDescent="0.25">
      <c r="A1332" s="21"/>
      <c r="B1332" s="168"/>
      <c r="C1332" s="28"/>
      <c r="D1332" s="29"/>
      <c r="E1332" s="29"/>
    </row>
    <row r="1333" spans="1:5" x14ac:dyDescent="0.25">
      <c r="A1333" s="21"/>
      <c r="B1333" s="168"/>
      <c r="C1333" s="28"/>
      <c r="D1333" s="29"/>
      <c r="E1333" s="29"/>
    </row>
    <row r="1334" spans="1:5" x14ac:dyDescent="0.25">
      <c r="A1334" s="21"/>
      <c r="B1334" s="168"/>
      <c r="C1334" s="28"/>
      <c r="D1334" s="29"/>
      <c r="E1334" s="29"/>
    </row>
    <row r="1335" spans="1:5" x14ac:dyDescent="0.25">
      <c r="A1335" s="21"/>
      <c r="B1335" s="168"/>
      <c r="C1335" s="28"/>
      <c r="D1335" s="29"/>
      <c r="E1335" s="29"/>
    </row>
    <row r="1336" spans="1:5" x14ac:dyDescent="0.25">
      <c r="A1336" s="21"/>
      <c r="B1336" s="168"/>
      <c r="C1336" s="28"/>
      <c r="D1336" s="29"/>
      <c r="E1336" s="29"/>
    </row>
    <row r="1337" spans="1:5" x14ac:dyDescent="0.25">
      <c r="A1337" s="21"/>
      <c r="B1337" s="168"/>
      <c r="C1337" s="28"/>
      <c r="D1337" s="29"/>
      <c r="E1337" s="29"/>
    </row>
    <row r="1338" spans="1:5" x14ac:dyDescent="0.25">
      <c r="A1338" s="21"/>
      <c r="B1338" s="168"/>
      <c r="C1338" s="28"/>
      <c r="D1338" s="29"/>
      <c r="E1338" s="29"/>
    </row>
    <row r="1339" spans="1:5" x14ac:dyDescent="0.25">
      <c r="A1339" s="21"/>
      <c r="B1339" s="168"/>
      <c r="C1339" s="28"/>
      <c r="D1339" s="29"/>
      <c r="E1339" s="29"/>
    </row>
    <row r="1340" spans="1:5" x14ac:dyDescent="0.25">
      <c r="A1340" s="21"/>
      <c r="B1340" s="168"/>
      <c r="C1340" s="28"/>
      <c r="D1340" s="29"/>
      <c r="E1340" s="29"/>
    </row>
    <row r="1341" spans="1:5" x14ac:dyDescent="0.25">
      <c r="A1341" s="21"/>
      <c r="B1341" s="168"/>
      <c r="C1341" s="28"/>
      <c r="D1341" s="29"/>
      <c r="E1341" s="29"/>
    </row>
    <row r="1342" spans="1:5" x14ac:dyDescent="0.25">
      <c r="A1342" s="21"/>
      <c r="B1342" s="168"/>
      <c r="C1342" s="28"/>
      <c r="D1342" s="29"/>
      <c r="E1342" s="29"/>
    </row>
    <row r="1343" spans="1:5" x14ac:dyDescent="0.25">
      <c r="A1343" s="21"/>
      <c r="B1343" s="168"/>
      <c r="C1343" s="28"/>
      <c r="D1343" s="29"/>
      <c r="E1343" s="29"/>
    </row>
    <row r="1344" spans="1:5" x14ac:dyDescent="0.25">
      <c r="A1344" s="21"/>
      <c r="B1344" s="168"/>
      <c r="C1344" s="28"/>
      <c r="D1344" s="29"/>
      <c r="E1344" s="29"/>
    </row>
    <row r="1345" spans="1:5" x14ac:dyDescent="0.25">
      <c r="A1345" s="21"/>
      <c r="B1345" s="168"/>
      <c r="C1345" s="28"/>
      <c r="D1345" s="29"/>
      <c r="E1345" s="29"/>
    </row>
    <row r="1346" spans="1:5" x14ac:dyDescent="0.25">
      <c r="A1346" s="21"/>
      <c r="B1346" s="168"/>
      <c r="C1346" s="28"/>
      <c r="D1346" s="29"/>
      <c r="E1346" s="29"/>
    </row>
    <row r="1347" spans="1:5" x14ac:dyDescent="0.25">
      <c r="A1347" s="21"/>
      <c r="B1347" s="168"/>
      <c r="C1347" s="28"/>
      <c r="D1347" s="29"/>
      <c r="E1347" s="29"/>
    </row>
    <row r="1348" spans="1:5" x14ac:dyDescent="0.25">
      <c r="A1348" s="21"/>
      <c r="B1348" s="168"/>
      <c r="C1348" s="28"/>
      <c r="D1348" s="29"/>
      <c r="E1348" s="29"/>
    </row>
    <row r="1349" spans="1:5" x14ac:dyDescent="0.25">
      <c r="A1349" s="21"/>
      <c r="B1349" s="168"/>
      <c r="C1349" s="28"/>
      <c r="D1349" s="29"/>
      <c r="E1349" s="29"/>
    </row>
    <row r="1350" spans="1:5" x14ac:dyDescent="0.25">
      <c r="A1350" s="21"/>
      <c r="B1350" s="168"/>
      <c r="C1350" s="28"/>
      <c r="D1350" s="29"/>
      <c r="E1350" s="29"/>
    </row>
    <row r="1351" spans="1:5" x14ac:dyDescent="0.25">
      <c r="A1351" s="21"/>
      <c r="B1351" s="168"/>
      <c r="C1351" s="28"/>
      <c r="D1351" s="29"/>
      <c r="E1351" s="29"/>
    </row>
    <row r="1352" spans="1:5" x14ac:dyDescent="0.25">
      <c r="A1352" s="21"/>
      <c r="B1352" s="168"/>
      <c r="C1352" s="28"/>
      <c r="D1352" s="29"/>
      <c r="E1352" s="29"/>
    </row>
    <row r="1353" spans="1:5" x14ac:dyDescent="0.25">
      <c r="A1353" s="21"/>
      <c r="B1353" s="168"/>
      <c r="C1353" s="28"/>
      <c r="D1353" s="29"/>
      <c r="E1353" s="29"/>
    </row>
    <row r="1354" spans="1:5" x14ac:dyDescent="0.25">
      <c r="A1354" s="21"/>
      <c r="B1354" s="168"/>
      <c r="C1354" s="28"/>
      <c r="D1354" s="29"/>
      <c r="E1354" s="29"/>
    </row>
    <row r="1355" spans="1:5" x14ac:dyDescent="0.25">
      <c r="A1355" s="21"/>
      <c r="B1355" s="168"/>
      <c r="C1355" s="28"/>
      <c r="D1355" s="29"/>
      <c r="E1355" s="29"/>
    </row>
    <row r="1356" spans="1:5" x14ac:dyDescent="0.25">
      <c r="A1356" s="21"/>
      <c r="B1356" s="168"/>
      <c r="C1356" s="28"/>
      <c r="D1356" s="29"/>
      <c r="E1356" s="29"/>
    </row>
    <row r="1357" spans="1:5" x14ac:dyDescent="0.25">
      <c r="A1357" s="21"/>
      <c r="B1357" s="168"/>
      <c r="C1357" s="28"/>
      <c r="D1357" s="29"/>
      <c r="E1357" s="29"/>
    </row>
    <row r="1358" spans="1:5" x14ac:dyDescent="0.25">
      <c r="A1358" s="21"/>
      <c r="B1358" s="168"/>
      <c r="C1358" s="28"/>
      <c r="D1358" s="29"/>
      <c r="E1358" s="29"/>
    </row>
    <row r="1359" spans="1:5" x14ac:dyDescent="0.25">
      <c r="A1359" s="21"/>
      <c r="B1359" s="168"/>
      <c r="C1359" s="28"/>
      <c r="D1359" s="29"/>
      <c r="E1359" s="29"/>
    </row>
    <row r="1360" spans="1:5" x14ac:dyDescent="0.25">
      <c r="A1360" s="21"/>
      <c r="B1360" s="168"/>
      <c r="C1360" s="28"/>
      <c r="D1360" s="29"/>
      <c r="E1360" s="29"/>
    </row>
    <row r="1361" spans="1:5" x14ac:dyDescent="0.25">
      <c r="A1361" s="21"/>
      <c r="B1361" s="168"/>
      <c r="C1361" s="28"/>
      <c r="D1361" s="29"/>
      <c r="E1361" s="29"/>
    </row>
    <row r="1362" spans="1:5" x14ac:dyDescent="0.25">
      <c r="A1362" s="21"/>
      <c r="B1362" s="168"/>
      <c r="C1362" s="28"/>
      <c r="D1362" s="29"/>
      <c r="E1362" s="29"/>
    </row>
    <row r="1363" spans="1:5" x14ac:dyDescent="0.25">
      <c r="A1363" s="21"/>
      <c r="B1363" s="168"/>
      <c r="C1363" s="28"/>
      <c r="D1363" s="29"/>
      <c r="E1363" s="29"/>
    </row>
    <row r="1364" spans="1:5" x14ac:dyDescent="0.25">
      <c r="A1364" s="21"/>
      <c r="B1364" s="168"/>
      <c r="C1364" s="28"/>
      <c r="D1364" s="29"/>
      <c r="E1364" s="29"/>
    </row>
    <row r="1365" spans="1:5" x14ac:dyDescent="0.25">
      <c r="A1365" s="21"/>
      <c r="B1365" s="168"/>
      <c r="C1365" s="28"/>
      <c r="D1365" s="29"/>
      <c r="E1365" s="29"/>
    </row>
    <row r="1366" spans="1:5" x14ac:dyDescent="0.25">
      <c r="A1366" s="21"/>
      <c r="B1366" s="168"/>
      <c r="C1366" s="28"/>
      <c r="D1366" s="29"/>
      <c r="E1366" s="29"/>
    </row>
    <row r="1367" spans="1:5" x14ac:dyDescent="0.25">
      <c r="A1367" s="21"/>
      <c r="B1367" s="168"/>
      <c r="C1367" s="28"/>
      <c r="D1367" s="29"/>
      <c r="E1367" s="29"/>
    </row>
    <row r="1368" spans="1:5" x14ac:dyDescent="0.25">
      <c r="A1368" s="21"/>
      <c r="B1368" s="168"/>
      <c r="C1368" s="28"/>
      <c r="D1368" s="29"/>
      <c r="E1368" s="29"/>
    </row>
    <row r="1369" spans="1:5" x14ac:dyDescent="0.25">
      <c r="A1369" s="21"/>
      <c r="B1369" s="168"/>
      <c r="C1369" s="28"/>
      <c r="D1369" s="29"/>
      <c r="E1369" s="29"/>
    </row>
    <row r="1370" spans="1:5" x14ac:dyDescent="0.25">
      <c r="A1370" s="21"/>
      <c r="B1370" s="168"/>
      <c r="C1370" s="28"/>
      <c r="D1370" s="29"/>
      <c r="E1370" s="29"/>
    </row>
    <row r="1371" spans="1:5" x14ac:dyDescent="0.25">
      <c r="A1371" s="21"/>
      <c r="B1371" s="168"/>
      <c r="C1371" s="28"/>
      <c r="D1371" s="29"/>
      <c r="E1371" s="29"/>
    </row>
    <row r="1372" spans="1:5" x14ac:dyDescent="0.25">
      <c r="A1372" s="21"/>
      <c r="B1372" s="168"/>
      <c r="C1372" s="28"/>
      <c r="D1372" s="29"/>
      <c r="E1372" s="29"/>
    </row>
    <row r="1373" spans="1:5" x14ac:dyDescent="0.25">
      <c r="A1373" s="21"/>
      <c r="B1373" s="168"/>
      <c r="C1373" s="28"/>
      <c r="D1373" s="29"/>
      <c r="E1373" s="29"/>
    </row>
    <row r="1374" spans="1:5" x14ac:dyDescent="0.25">
      <c r="A1374" s="21"/>
      <c r="B1374" s="168"/>
      <c r="C1374" s="28"/>
      <c r="D1374" s="29"/>
      <c r="E1374" s="29"/>
    </row>
    <row r="1375" spans="1:5" x14ac:dyDescent="0.25">
      <c r="A1375" s="21"/>
      <c r="B1375" s="168"/>
      <c r="C1375" s="28"/>
      <c r="D1375" s="29"/>
      <c r="E1375" s="29"/>
    </row>
    <row r="1376" spans="1:5" x14ac:dyDescent="0.25">
      <c r="A1376" s="21"/>
      <c r="B1376" s="168"/>
      <c r="C1376" s="28"/>
      <c r="D1376" s="29"/>
      <c r="E1376" s="29"/>
    </row>
    <row r="1377" spans="1:5" x14ac:dyDescent="0.25">
      <c r="A1377" s="21"/>
      <c r="B1377" s="168"/>
      <c r="C1377" s="28"/>
      <c r="D1377" s="29"/>
      <c r="E1377" s="29"/>
    </row>
    <row r="1378" spans="1:5" x14ac:dyDescent="0.25">
      <c r="A1378" s="21"/>
      <c r="B1378" s="168"/>
      <c r="C1378" s="28"/>
      <c r="D1378" s="29"/>
      <c r="E1378" s="29"/>
    </row>
    <row r="1379" spans="1:5" x14ac:dyDescent="0.25">
      <c r="A1379" s="21"/>
      <c r="B1379" s="168"/>
      <c r="C1379" s="28"/>
      <c r="D1379" s="29"/>
      <c r="E1379" s="29"/>
    </row>
    <row r="1380" spans="1:5" x14ac:dyDescent="0.25">
      <c r="A1380" s="21"/>
      <c r="B1380" s="168"/>
      <c r="C1380" s="28"/>
      <c r="D1380" s="29"/>
      <c r="E1380" s="29"/>
    </row>
    <row r="1381" spans="1:5" x14ac:dyDescent="0.25">
      <c r="A1381" s="21"/>
      <c r="B1381" s="168"/>
      <c r="C1381" s="28"/>
      <c r="D1381" s="29"/>
      <c r="E1381" s="29"/>
    </row>
    <row r="1382" spans="1:5" x14ac:dyDescent="0.25">
      <c r="A1382" s="21"/>
      <c r="B1382" s="168"/>
      <c r="C1382" s="28"/>
      <c r="D1382" s="29"/>
      <c r="E1382" s="29"/>
    </row>
    <row r="1383" spans="1:5" x14ac:dyDescent="0.25">
      <c r="A1383" s="21"/>
      <c r="B1383" s="168"/>
      <c r="C1383" s="28"/>
      <c r="D1383" s="29"/>
      <c r="E1383" s="29"/>
    </row>
    <row r="1384" spans="1:5" x14ac:dyDescent="0.25">
      <c r="A1384" s="21"/>
      <c r="B1384" s="168"/>
      <c r="C1384" s="28"/>
      <c r="D1384" s="29"/>
      <c r="E1384" s="29"/>
    </row>
    <row r="1385" spans="1:5" x14ac:dyDescent="0.25">
      <c r="A1385" s="21"/>
      <c r="B1385" s="168"/>
      <c r="C1385" s="28"/>
      <c r="D1385" s="29"/>
      <c r="E1385" s="29"/>
    </row>
    <row r="1386" spans="1:5" x14ac:dyDescent="0.25">
      <c r="A1386" s="21"/>
      <c r="B1386" s="168"/>
      <c r="C1386" s="28"/>
      <c r="D1386" s="29"/>
      <c r="E1386" s="29"/>
    </row>
    <row r="1387" spans="1:5" x14ac:dyDescent="0.25">
      <c r="A1387" s="21"/>
      <c r="B1387" s="168"/>
      <c r="C1387" s="28"/>
      <c r="D1387" s="29"/>
      <c r="E1387" s="29"/>
    </row>
    <row r="1388" spans="1:5" x14ac:dyDescent="0.25">
      <c r="A1388" s="21"/>
      <c r="B1388" s="168"/>
      <c r="C1388" s="28"/>
      <c r="D1388" s="29"/>
      <c r="E1388" s="29"/>
    </row>
    <row r="1389" spans="1:5" x14ac:dyDescent="0.25">
      <c r="A1389" s="21"/>
      <c r="B1389" s="168"/>
      <c r="C1389" s="28"/>
      <c r="D1389" s="29"/>
      <c r="E1389" s="29"/>
    </row>
    <row r="1390" spans="1:5" x14ac:dyDescent="0.25">
      <c r="A1390" s="21"/>
      <c r="B1390" s="168"/>
      <c r="C1390" s="28"/>
      <c r="D1390" s="29"/>
      <c r="E1390" s="29"/>
    </row>
    <row r="1391" spans="1:5" x14ac:dyDescent="0.25">
      <c r="A1391" s="21"/>
      <c r="B1391" s="168"/>
      <c r="C1391" s="28"/>
      <c r="D1391" s="29"/>
      <c r="E1391" s="29"/>
    </row>
    <row r="1392" spans="1:5" x14ac:dyDescent="0.25">
      <c r="A1392" s="21"/>
      <c r="B1392" s="168"/>
      <c r="C1392" s="28"/>
      <c r="D1392" s="29"/>
      <c r="E1392" s="29"/>
    </row>
    <row r="1393" spans="1:5" x14ac:dyDescent="0.25">
      <c r="A1393" s="21"/>
      <c r="B1393" s="168"/>
      <c r="C1393" s="28"/>
      <c r="D1393" s="29"/>
      <c r="E1393" s="29"/>
    </row>
    <row r="1394" spans="1:5" x14ac:dyDescent="0.25">
      <c r="A1394" s="21"/>
      <c r="B1394" s="168"/>
      <c r="C1394" s="28"/>
      <c r="D1394" s="29"/>
      <c r="E1394" s="29"/>
    </row>
    <row r="1395" spans="1:5" x14ac:dyDescent="0.25">
      <c r="A1395" s="21"/>
      <c r="B1395" s="168"/>
      <c r="C1395" s="28"/>
      <c r="D1395" s="29"/>
      <c r="E1395" s="29"/>
    </row>
    <row r="1396" spans="1:5" x14ac:dyDescent="0.25">
      <c r="A1396" s="21"/>
      <c r="B1396" s="168"/>
      <c r="C1396" s="28"/>
      <c r="D1396" s="29"/>
      <c r="E1396" s="29"/>
    </row>
    <row r="1397" spans="1:5" x14ac:dyDescent="0.25">
      <c r="A1397" s="21"/>
      <c r="B1397" s="168"/>
      <c r="C1397" s="28"/>
      <c r="D1397" s="29"/>
      <c r="E1397" s="29"/>
    </row>
    <row r="1398" spans="1:5" x14ac:dyDescent="0.25">
      <c r="A1398" s="21"/>
      <c r="B1398" s="168"/>
      <c r="C1398" s="28"/>
      <c r="D1398" s="29"/>
      <c r="E1398" s="29"/>
    </row>
    <row r="1399" spans="1:5" x14ac:dyDescent="0.25">
      <c r="A1399" s="21"/>
      <c r="B1399" s="168"/>
      <c r="C1399" s="28"/>
      <c r="D1399" s="29"/>
      <c r="E1399" s="29"/>
    </row>
    <row r="1400" spans="1:5" x14ac:dyDescent="0.25">
      <c r="A1400" s="21"/>
      <c r="B1400" s="168"/>
      <c r="C1400" s="28"/>
      <c r="D1400" s="29"/>
      <c r="E1400" s="29"/>
    </row>
    <row r="1401" spans="1:5" x14ac:dyDescent="0.25">
      <c r="A1401" s="21"/>
      <c r="B1401" s="168"/>
      <c r="C1401" s="28"/>
      <c r="D1401" s="29"/>
      <c r="E1401" s="29"/>
    </row>
    <row r="1402" spans="1:5" x14ac:dyDescent="0.25">
      <c r="A1402" s="21"/>
      <c r="B1402" s="168"/>
      <c r="C1402" s="28"/>
      <c r="D1402" s="29"/>
      <c r="E1402" s="29"/>
    </row>
    <row r="1403" spans="1:5" x14ac:dyDescent="0.25">
      <c r="A1403" s="21"/>
      <c r="B1403" s="168"/>
      <c r="C1403" s="28"/>
      <c r="D1403" s="29"/>
      <c r="E1403" s="29"/>
    </row>
    <row r="1404" spans="1:5" x14ac:dyDescent="0.25">
      <c r="A1404" s="21"/>
      <c r="B1404" s="168"/>
      <c r="C1404" s="28"/>
      <c r="D1404" s="29"/>
      <c r="E1404" s="29"/>
    </row>
    <row r="1405" spans="1:5" x14ac:dyDescent="0.25">
      <c r="A1405" s="21"/>
      <c r="B1405" s="168"/>
      <c r="C1405" s="28"/>
      <c r="D1405" s="29"/>
      <c r="E1405" s="29"/>
    </row>
    <row r="1406" spans="1:5" x14ac:dyDescent="0.25">
      <c r="A1406" s="21"/>
      <c r="B1406" s="168"/>
      <c r="C1406" s="28"/>
      <c r="D1406" s="29"/>
      <c r="E1406" s="29"/>
    </row>
    <row r="1407" spans="1:5" x14ac:dyDescent="0.25">
      <c r="A1407" s="21"/>
      <c r="B1407" s="168"/>
      <c r="C1407" s="28"/>
      <c r="D1407" s="29"/>
      <c r="E1407" s="29"/>
    </row>
    <row r="1408" spans="1:5" x14ac:dyDescent="0.25">
      <c r="A1408" s="21"/>
      <c r="B1408" s="168"/>
      <c r="C1408" s="28"/>
      <c r="D1408" s="29"/>
      <c r="E1408" s="29"/>
    </row>
    <row r="1409" spans="1:5" x14ac:dyDescent="0.25">
      <c r="A1409" s="21"/>
      <c r="B1409" s="168"/>
      <c r="C1409" s="28"/>
      <c r="D1409" s="29"/>
      <c r="E1409" s="29"/>
    </row>
    <row r="1410" spans="1:5" x14ac:dyDescent="0.25">
      <c r="A1410" s="21"/>
      <c r="B1410" s="168"/>
      <c r="C1410" s="28"/>
      <c r="D1410" s="29"/>
      <c r="E1410" s="29"/>
    </row>
    <row r="1411" spans="1:5" x14ac:dyDescent="0.25">
      <c r="A1411" s="21"/>
      <c r="B1411" s="168"/>
      <c r="C1411" s="28"/>
      <c r="D1411" s="29"/>
      <c r="E1411" s="29"/>
    </row>
    <row r="1412" spans="1:5" x14ac:dyDescent="0.25">
      <c r="A1412" s="21"/>
      <c r="B1412" s="168"/>
      <c r="C1412" s="28"/>
      <c r="D1412" s="29"/>
      <c r="E1412" s="29"/>
    </row>
    <row r="1413" spans="1:5" x14ac:dyDescent="0.25">
      <c r="A1413" s="21"/>
      <c r="B1413" s="168"/>
      <c r="C1413" s="28"/>
      <c r="D1413" s="29"/>
      <c r="E1413" s="29"/>
    </row>
    <row r="1414" spans="1:5" x14ac:dyDescent="0.25">
      <c r="A1414" s="21"/>
      <c r="B1414" s="168"/>
      <c r="C1414" s="28"/>
      <c r="D1414" s="29"/>
      <c r="E1414" s="29"/>
    </row>
    <row r="1415" spans="1:5" x14ac:dyDescent="0.25">
      <c r="A1415" s="21"/>
      <c r="B1415" s="168"/>
      <c r="C1415" s="28"/>
      <c r="D1415" s="29"/>
      <c r="E1415" s="29"/>
    </row>
    <row r="1416" spans="1:5" x14ac:dyDescent="0.25">
      <c r="A1416" s="21"/>
      <c r="B1416" s="168"/>
      <c r="C1416" s="28"/>
      <c r="D1416" s="29"/>
      <c r="E1416" s="29"/>
    </row>
    <row r="1417" spans="1:5" x14ac:dyDescent="0.25">
      <c r="A1417" s="21"/>
      <c r="B1417" s="168"/>
      <c r="C1417" s="28"/>
      <c r="D1417" s="29"/>
      <c r="E1417" s="29"/>
    </row>
    <row r="1418" spans="1:5" x14ac:dyDescent="0.25">
      <c r="A1418" s="21"/>
      <c r="B1418" s="168"/>
      <c r="C1418" s="28"/>
      <c r="D1418" s="29"/>
      <c r="E1418" s="29"/>
    </row>
    <row r="1419" spans="1:5" x14ac:dyDescent="0.25">
      <c r="A1419" s="21"/>
      <c r="B1419" s="168"/>
      <c r="C1419" s="28"/>
      <c r="D1419" s="29"/>
      <c r="E1419" s="29"/>
    </row>
    <row r="1420" spans="1:5" x14ac:dyDescent="0.25">
      <c r="A1420" s="21"/>
      <c r="B1420" s="168"/>
      <c r="C1420" s="28"/>
      <c r="D1420" s="29"/>
      <c r="E1420" s="29"/>
    </row>
    <row r="1421" spans="1:5" x14ac:dyDescent="0.25">
      <c r="A1421" s="21"/>
      <c r="B1421" s="168"/>
      <c r="C1421" s="28"/>
      <c r="D1421" s="29"/>
      <c r="E1421" s="29"/>
    </row>
    <row r="1422" spans="1:5" x14ac:dyDescent="0.25">
      <c r="A1422" s="21"/>
      <c r="B1422" s="168"/>
      <c r="C1422" s="28"/>
      <c r="D1422" s="29"/>
      <c r="E1422" s="29"/>
    </row>
    <row r="1423" spans="1:5" x14ac:dyDescent="0.25">
      <c r="A1423" s="21"/>
      <c r="B1423" s="168"/>
      <c r="C1423" s="28"/>
      <c r="D1423" s="29"/>
      <c r="E1423" s="29"/>
    </row>
    <row r="1424" spans="1:5" x14ac:dyDescent="0.25">
      <c r="A1424" s="21"/>
      <c r="B1424" s="168"/>
      <c r="C1424" s="28"/>
      <c r="D1424" s="29"/>
      <c r="E1424" s="29"/>
    </row>
    <row r="1425" spans="1:5" x14ac:dyDescent="0.25">
      <c r="A1425" s="21"/>
      <c r="B1425" s="168"/>
      <c r="C1425" s="28"/>
      <c r="D1425" s="29"/>
      <c r="E1425" s="29"/>
    </row>
    <row r="1426" spans="1:5" x14ac:dyDescent="0.25">
      <c r="A1426" s="21"/>
      <c r="B1426" s="168"/>
      <c r="C1426" s="28"/>
      <c r="D1426" s="29"/>
      <c r="E1426" s="29"/>
    </row>
    <row r="1427" spans="1:5" x14ac:dyDescent="0.25">
      <c r="A1427" s="21"/>
      <c r="B1427" s="168"/>
      <c r="C1427" s="28"/>
      <c r="D1427" s="29"/>
      <c r="E1427" s="29"/>
    </row>
    <row r="1428" spans="1:5" x14ac:dyDescent="0.25">
      <c r="A1428" s="21"/>
      <c r="B1428" s="168"/>
      <c r="C1428" s="28"/>
      <c r="D1428" s="29"/>
      <c r="E1428" s="29"/>
    </row>
    <row r="1429" spans="1:5" x14ac:dyDescent="0.25">
      <c r="A1429" s="21"/>
      <c r="B1429" s="168"/>
      <c r="C1429" s="28"/>
      <c r="D1429" s="29"/>
      <c r="E1429" s="29"/>
    </row>
    <row r="1430" spans="1:5" x14ac:dyDescent="0.25">
      <c r="A1430" s="21"/>
      <c r="B1430" s="168"/>
      <c r="C1430" s="28"/>
      <c r="D1430" s="29"/>
      <c r="E1430" s="29"/>
    </row>
    <row r="1431" spans="1:5" x14ac:dyDescent="0.25">
      <c r="A1431" s="21"/>
      <c r="B1431" s="168"/>
      <c r="C1431" s="28"/>
      <c r="D1431" s="29"/>
      <c r="E1431" s="29"/>
    </row>
    <row r="1432" spans="1:5" x14ac:dyDescent="0.25">
      <c r="A1432" s="21"/>
      <c r="B1432" s="168"/>
      <c r="C1432" s="28"/>
      <c r="D1432" s="29"/>
      <c r="E1432" s="29"/>
    </row>
    <row r="1433" spans="1:5" x14ac:dyDescent="0.25">
      <c r="A1433" s="21"/>
      <c r="B1433" s="168"/>
      <c r="C1433" s="28"/>
      <c r="D1433" s="29"/>
      <c r="E1433" s="29"/>
    </row>
    <row r="1434" spans="1:5" x14ac:dyDescent="0.25">
      <c r="A1434" s="21"/>
      <c r="B1434" s="168"/>
      <c r="C1434" s="28"/>
      <c r="D1434" s="29"/>
      <c r="E1434" s="29"/>
    </row>
    <row r="1435" spans="1:5" x14ac:dyDescent="0.25">
      <c r="A1435" s="21"/>
      <c r="B1435" s="168"/>
      <c r="C1435" s="28"/>
      <c r="D1435" s="29"/>
      <c r="E1435" s="29"/>
    </row>
    <row r="1436" spans="1:5" x14ac:dyDescent="0.25">
      <c r="A1436" s="21"/>
      <c r="B1436" s="168"/>
      <c r="C1436" s="28"/>
      <c r="D1436" s="29"/>
      <c r="E1436" s="29"/>
    </row>
    <row r="1437" spans="1:5" x14ac:dyDescent="0.25">
      <c r="A1437" s="21"/>
      <c r="B1437" s="168"/>
      <c r="C1437" s="28"/>
      <c r="D1437" s="29"/>
      <c r="E1437" s="29"/>
    </row>
    <row r="1438" spans="1:5" x14ac:dyDescent="0.25">
      <c r="A1438" s="21"/>
      <c r="B1438" s="168"/>
      <c r="C1438" s="28"/>
      <c r="D1438" s="29"/>
      <c r="E1438" s="29"/>
    </row>
    <row r="1439" spans="1:5" x14ac:dyDescent="0.25">
      <c r="A1439" s="21"/>
      <c r="B1439" s="168"/>
      <c r="C1439" s="28"/>
      <c r="D1439" s="29"/>
      <c r="E1439" s="29"/>
    </row>
    <row r="1440" spans="1:5" x14ac:dyDescent="0.25">
      <c r="A1440" s="21"/>
      <c r="B1440" s="168"/>
      <c r="C1440" s="28"/>
      <c r="D1440" s="29"/>
      <c r="E1440" s="29"/>
    </row>
    <row r="1441" spans="1:5" x14ac:dyDescent="0.25">
      <c r="A1441" s="21"/>
      <c r="B1441" s="168"/>
      <c r="C1441" s="28"/>
      <c r="D1441" s="29"/>
      <c r="E1441" s="29"/>
    </row>
    <row r="1442" spans="1:5" x14ac:dyDescent="0.25">
      <c r="A1442" s="21"/>
      <c r="B1442" s="168"/>
      <c r="C1442" s="28"/>
      <c r="D1442" s="29"/>
      <c r="E1442" s="29"/>
    </row>
    <row r="1443" spans="1:5" x14ac:dyDescent="0.25">
      <c r="A1443" s="21"/>
      <c r="B1443" s="168"/>
      <c r="C1443" s="28"/>
      <c r="D1443" s="29"/>
      <c r="E1443" s="29"/>
    </row>
    <row r="1444" spans="1:5" x14ac:dyDescent="0.25">
      <c r="A1444" s="21"/>
      <c r="B1444" s="168"/>
      <c r="C1444" s="28"/>
      <c r="D1444" s="29"/>
      <c r="E1444" s="29"/>
    </row>
    <row r="1445" spans="1:5" x14ac:dyDescent="0.25">
      <c r="A1445" s="21"/>
      <c r="B1445" s="168"/>
      <c r="C1445" s="28"/>
      <c r="D1445" s="29"/>
      <c r="E1445" s="29"/>
    </row>
    <row r="1446" spans="1:5" x14ac:dyDescent="0.25">
      <c r="A1446" s="21"/>
      <c r="B1446" s="168"/>
      <c r="C1446" s="28"/>
      <c r="D1446" s="29"/>
      <c r="E1446" s="29"/>
    </row>
    <row r="1447" spans="1:5" x14ac:dyDescent="0.25">
      <c r="A1447" s="21"/>
      <c r="B1447" s="168"/>
      <c r="C1447" s="28"/>
      <c r="D1447" s="29"/>
      <c r="E1447" s="29"/>
    </row>
    <row r="1448" spans="1:5" x14ac:dyDescent="0.25">
      <c r="A1448" s="21"/>
      <c r="B1448" s="168"/>
      <c r="C1448" s="28"/>
      <c r="D1448" s="29"/>
      <c r="E1448" s="29"/>
    </row>
    <row r="1449" spans="1:5" x14ac:dyDescent="0.25">
      <c r="A1449" s="21"/>
      <c r="B1449" s="168"/>
      <c r="C1449" s="28"/>
      <c r="D1449" s="29"/>
      <c r="E1449" s="29"/>
    </row>
    <row r="1450" spans="1:5" x14ac:dyDescent="0.25">
      <c r="A1450" s="21"/>
      <c r="B1450" s="168"/>
      <c r="C1450" s="28"/>
      <c r="D1450" s="29"/>
      <c r="E1450" s="29"/>
    </row>
    <row r="1451" spans="1:5" x14ac:dyDescent="0.25">
      <c r="A1451" s="21"/>
      <c r="B1451" s="168"/>
      <c r="C1451" s="28"/>
      <c r="D1451" s="29"/>
      <c r="E1451" s="29"/>
    </row>
    <row r="1452" spans="1:5" x14ac:dyDescent="0.25">
      <c r="A1452" s="21"/>
      <c r="B1452" s="168"/>
      <c r="C1452" s="28"/>
      <c r="D1452" s="29"/>
      <c r="E1452" s="29"/>
    </row>
    <row r="1453" spans="1:5" x14ac:dyDescent="0.25">
      <c r="A1453" s="21"/>
      <c r="B1453" s="168"/>
      <c r="C1453" s="28"/>
      <c r="D1453" s="29"/>
      <c r="E1453" s="29"/>
    </row>
    <row r="1454" spans="1:5" x14ac:dyDescent="0.25">
      <c r="A1454" s="21"/>
      <c r="B1454" s="168"/>
      <c r="C1454" s="28"/>
      <c r="D1454" s="29"/>
      <c r="E1454" s="29"/>
    </row>
    <row r="1455" spans="1:5" x14ac:dyDescent="0.25">
      <c r="A1455" s="21"/>
      <c r="B1455" s="168"/>
      <c r="C1455" s="28"/>
      <c r="D1455" s="29"/>
      <c r="E1455" s="29"/>
    </row>
    <row r="1456" spans="1:5" x14ac:dyDescent="0.25">
      <c r="A1456" s="21"/>
      <c r="B1456" s="168"/>
      <c r="C1456" s="28"/>
      <c r="D1456" s="29"/>
      <c r="E1456" s="29"/>
    </row>
    <row r="1457" spans="1:5" x14ac:dyDescent="0.25">
      <c r="A1457" s="21"/>
      <c r="B1457" s="168"/>
      <c r="C1457" s="28"/>
      <c r="D1457" s="29"/>
      <c r="E1457" s="29"/>
    </row>
    <row r="1458" spans="1:5" x14ac:dyDescent="0.25">
      <c r="A1458" s="21"/>
      <c r="B1458" s="168"/>
      <c r="C1458" s="28"/>
      <c r="D1458" s="29"/>
      <c r="E1458" s="29"/>
    </row>
    <row r="1459" spans="1:5" x14ac:dyDescent="0.25">
      <c r="A1459" s="21"/>
      <c r="B1459" s="168"/>
      <c r="C1459" s="28"/>
      <c r="D1459" s="29"/>
      <c r="E1459" s="29"/>
    </row>
    <row r="1460" spans="1:5" x14ac:dyDescent="0.25">
      <c r="A1460" s="21"/>
      <c r="B1460" s="168"/>
      <c r="C1460" s="28"/>
      <c r="D1460" s="29"/>
      <c r="E1460" s="29"/>
    </row>
    <row r="1461" spans="1:5" x14ac:dyDescent="0.25">
      <c r="A1461" s="21"/>
      <c r="B1461" s="168"/>
      <c r="C1461" s="28"/>
      <c r="D1461" s="29"/>
      <c r="E1461" s="29"/>
    </row>
    <row r="1462" spans="1:5" x14ac:dyDescent="0.25">
      <c r="A1462" s="21"/>
      <c r="B1462" s="168"/>
      <c r="C1462" s="28"/>
      <c r="D1462" s="29"/>
      <c r="E1462" s="29"/>
    </row>
    <row r="1463" spans="1:5" x14ac:dyDescent="0.25">
      <c r="A1463" s="21"/>
      <c r="B1463" s="168"/>
      <c r="C1463" s="28"/>
      <c r="D1463" s="29"/>
      <c r="E1463" s="29"/>
    </row>
    <row r="1464" spans="1:5" x14ac:dyDescent="0.25">
      <c r="A1464" s="21"/>
      <c r="B1464" s="168"/>
      <c r="C1464" s="28"/>
      <c r="D1464" s="29"/>
      <c r="E1464" s="29"/>
    </row>
    <row r="1465" spans="1:5" x14ac:dyDescent="0.25">
      <c r="A1465" s="21"/>
      <c r="B1465" s="168"/>
      <c r="C1465" s="28"/>
      <c r="D1465" s="29"/>
      <c r="E1465" s="29"/>
    </row>
    <row r="1466" spans="1:5" x14ac:dyDescent="0.25">
      <c r="A1466" s="21"/>
      <c r="B1466" s="168"/>
      <c r="C1466" s="28"/>
      <c r="D1466" s="29"/>
      <c r="E1466" s="29"/>
    </row>
    <row r="1467" spans="1:5" x14ac:dyDescent="0.25">
      <c r="A1467" s="21"/>
      <c r="B1467" s="168"/>
      <c r="C1467" s="28"/>
      <c r="D1467" s="29"/>
      <c r="E1467" s="29"/>
    </row>
    <row r="1468" spans="1:5" x14ac:dyDescent="0.25">
      <c r="A1468" s="21"/>
      <c r="B1468" s="168"/>
      <c r="C1468" s="28"/>
      <c r="D1468" s="29"/>
      <c r="E1468" s="29"/>
    </row>
    <row r="1469" spans="1:5" x14ac:dyDescent="0.25">
      <c r="A1469" s="21"/>
      <c r="B1469" s="168"/>
      <c r="C1469" s="28"/>
      <c r="D1469" s="29"/>
      <c r="E1469" s="29"/>
    </row>
    <row r="1470" spans="1:5" x14ac:dyDescent="0.25">
      <c r="A1470" s="21"/>
      <c r="B1470" s="168"/>
      <c r="C1470" s="28"/>
      <c r="D1470" s="29"/>
      <c r="E1470" s="29"/>
    </row>
    <row r="1471" spans="1:5" x14ac:dyDescent="0.25">
      <c r="A1471" s="21"/>
      <c r="B1471" s="168"/>
      <c r="C1471" s="28"/>
      <c r="D1471" s="29"/>
      <c r="E1471" s="29"/>
    </row>
    <row r="1472" spans="1:5" x14ac:dyDescent="0.25">
      <c r="A1472" s="21"/>
      <c r="B1472" s="168"/>
      <c r="C1472" s="28"/>
      <c r="D1472" s="29"/>
      <c r="E1472" s="29"/>
    </row>
    <row r="1473" spans="1:5" x14ac:dyDescent="0.25">
      <c r="A1473" s="21"/>
      <c r="B1473" s="168"/>
      <c r="C1473" s="28"/>
      <c r="D1473" s="29"/>
      <c r="E1473" s="29"/>
    </row>
    <row r="1474" spans="1:5" x14ac:dyDescent="0.25">
      <c r="A1474" s="21"/>
      <c r="B1474" s="168"/>
      <c r="C1474" s="28"/>
      <c r="D1474" s="29"/>
      <c r="E1474" s="29"/>
    </row>
    <row r="1475" spans="1:5" x14ac:dyDescent="0.25">
      <c r="A1475" s="21"/>
      <c r="B1475" s="168"/>
      <c r="C1475" s="28"/>
      <c r="D1475" s="29"/>
      <c r="E1475" s="29"/>
    </row>
    <row r="1476" spans="1:5" x14ac:dyDescent="0.25">
      <c r="A1476" s="21"/>
      <c r="B1476" s="168"/>
      <c r="C1476" s="28"/>
      <c r="D1476" s="29"/>
      <c r="E1476" s="29"/>
    </row>
    <row r="1477" spans="1:5" x14ac:dyDescent="0.25">
      <c r="A1477" s="21"/>
      <c r="B1477" s="168"/>
      <c r="C1477" s="28"/>
      <c r="D1477" s="29"/>
      <c r="E1477" s="29"/>
    </row>
    <row r="1478" spans="1:5" x14ac:dyDescent="0.25">
      <c r="A1478" s="21"/>
      <c r="B1478" s="168"/>
      <c r="C1478" s="28"/>
      <c r="D1478" s="29"/>
      <c r="E1478" s="29"/>
    </row>
    <row r="1479" spans="1:5" x14ac:dyDescent="0.25">
      <c r="A1479" s="21"/>
      <c r="B1479" s="168"/>
      <c r="C1479" s="28"/>
      <c r="D1479" s="29"/>
      <c r="E1479" s="29"/>
    </row>
    <row r="1480" spans="1:5" x14ac:dyDescent="0.25">
      <c r="A1480" s="21"/>
      <c r="B1480" s="168"/>
      <c r="C1480" s="28"/>
      <c r="D1480" s="29"/>
      <c r="E1480" s="29"/>
    </row>
    <row r="1481" spans="1:5" x14ac:dyDescent="0.25">
      <c r="A1481" s="21"/>
      <c r="B1481" s="168"/>
      <c r="C1481" s="28"/>
      <c r="D1481" s="29"/>
      <c r="E1481" s="29"/>
    </row>
    <row r="1482" spans="1:5" x14ac:dyDescent="0.25">
      <c r="A1482" s="21"/>
      <c r="B1482" s="168"/>
      <c r="C1482" s="28"/>
      <c r="D1482" s="29"/>
      <c r="E1482" s="29"/>
    </row>
    <row r="1483" spans="1:5" x14ac:dyDescent="0.25">
      <c r="A1483" s="21"/>
      <c r="B1483" s="168"/>
      <c r="C1483" s="28"/>
      <c r="D1483" s="29"/>
      <c r="E1483" s="29"/>
    </row>
    <row r="1484" spans="1:5" x14ac:dyDescent="0.25">
      <c r="A1484" s="21"/>
      <c r="B1484" s="168"/>
      <c r="C1484" s="28"/>
      <c r="D1484" s="29"/>
      <c r="E1484" s="29"/>
    </row>
    <row r="1485" spans="1:5" x14ac:dyDescent="0.25">
      <c r="A1485" s="21"/>
      <c r="B1485" s="168"/>
      <c r="C1485" s="28"/>
      <c r="D1485" s="29"/>
      <c r="E1485" s="29"/>
    </row>
    <row r="1486" spans="1:5" x14ac:dyDescent="0.25">
      <c r="A1486" s="21"/>
      <c r="B1486" s="168"/>
      <c r="C1486" s="28"/>
      <c r="D1486" s="29"/>
      <c r="E1486" s="29"/>
    </row>
    <row r="1487" spans="1:5" x14ac:dyDescent="0.25">
      <c r="A1487" s="21"/>
      <c r="B1487" s="168"/>
      <c r="C1487" s="28"/>
      <c r="D1487" s="29"/>
      <c r="E1487" s="29"/>
    </row>
    <row r="1488" spans="1:5" x14ac:dyDescent="0.25">
      <c r="A1488" s="21"/>
      <c r="B1488" s="168"/>
      <c r="C1488" s="28"/>
      <c r="D1488" s="29"/>
      <c r="E1488" s="29"/>
    </row>
    <row r="1489" spans="1:5" x14ac:dyDescent="0.25">
      <c r="A1489" s="21"/>
      <c r="B1489" s="168"/>
      <c r="C1489" s="28"/>
      <c r="D1489" s="29"/>
      <c r="E1489" s="29"/>
    </row>
    <row r="1490" spans="1:5" x14ac:dyDescent="0.25">
      <c r="A1490" s="21"/>
      <c r="B1490" s="168"/>
      <c r="C1490" s="28"/>
      <c r="D1490" s="29"/>
      <c r="E1490" s="29"/>
    </row>
    <row r="1491" spans="1:5" x14ac:dyDescent="0.25">
      <c r="A1491" s="21"/>
      <c r="B1491" s="168"/>
      <c r="C1491" s="28"/>
      <c r="D1491" s="29"/>
      <c r="E1491" s="29"/>
    </row>
    <row r="1492" spans="1:5" x14ac:dyDescent="0.25">
      <c r="A1492" s="21"/>
      <c r="B1492" s="168"/>
      <c r="C1492" s="28"/>
      <c r="D1492" s="29"/>
      <c r="E1492" s="29"/>
    </row>
    <row r="1493" spans="1:5" x14ac:dyDescent="0.25">
      <c r="A1493" s="21"/>
      <c r="B1493" s="168"/>
      <c r="C1493" s="28"/>
      <c r="D1493" s="29"/>
      <c r="E1493" s="29"/>
    </row>
    <row r="1494" spans="1:5" x14ac:dyDescent="0.25">
      <c r="A1494" s="21"/>
      <c r="B1494" s="168"/>
      <c r="C1494" s="28"/>
      <c r="D1494" s="29"/>
      <c r="E1494" s="29"/>
    </row>
    <row r="1495" spans="1:5" x14ac:dyDescent="0.25">
      <c r="A1495" s="21"/>
      <c r="B1495" s="168"/>
      <c r="C1495" s="28"/>
      <c r="D1495" s="29"/>
      <c r="E1495" s="29"/>
    </row>
    <row r="1496" spans="1:5" x14ac:dyDescent="0.25">
      <c r="A1496" s="21"/>
      <c r="B1496" s="168"/>
      <c r="C1496" s="28"/>
      <c r="D1496" s="29"/>
      <c r="E1496" s="29"/>
    </row>
    <row r="1497" spans="1:5" x14ac:dyDescent="0.25">
      <c r="A1497" s="21"/>
      <c r="B1497" s="168"/>
      <c r="C1497" s="28"/>
      <c r="D1497" s="29"/>
      <c r="E1497" s="29"/>
    </row>
    <row r="1498" spans="1:5" x14ac:dyDescent="0.25">
      <c r="A1498" s="21"/>
      <c r="B1498" s="168"/>
      <c r="C1498" s="28"/>
      <c r="D1498" s="29"/>
      <c r="E1498" s="29"/>
    </row>
    <row r="1499" spans="1:5" x14ac:dyDescent="0.25">
      <c r="A1499" s="21"/>
      <c r="B1499" s="168"/>
      <c r="C1499" s="28"/>
      <c r="D1499" s="29"/>
      <c r="E1499" s="29"/>
    </row>
    <row r="1500" spans="1:5" x14ac:dyDescent="0.25">
      <c r="A1500" s="21"/>
      <c r="B1500" s="168"/>
      <c r="C1500" s="28"/>
      <c r="D1500" s="29"/>
      <c r="E1500" s="29"/>
    </row>
    <row r="1501" spans="1:5" x14ac:dyDescent="0.25">
      <c r="A1501" s="21"/>
      <c r="B1501" s="168"/>
      <c r="C1501" s="28"/>
      <c r="D1501" s="29"/>
      <c r="E1501" s="29"/>
    </row>
    <row r="1502" spans="1:5" x14ac:dyDescent="0.25">
      <c r="A1502" s="21"/>
      <c r="B1502" s="168"/>
      <c r="C1502" s="28"/>
      <c r="D1502" s="29"/>
      <c r="E1502" s="29"/>
    </row>
    <row r="1503" spans="1:5" x14ac:dyDescent="0.25">
      <c r="A1503" s="21"/>
      <c r="B1503" s="168"/>
      <c r="C1503" s="28"/>
      <c r="D1503" s="29"/>
      <c r="E1503" s="29"/>
    </row>
    <row r="1504" spans="1:5" x14ac:dyDescent="0.25">
      <c r="A1504" s="21"/>
      <c r="B1504" s="168"/>
      <c r="C1504" s="28"/>
      <c r="D1504" s="29"/>
      <c r="E1504" s="29"/>
    </row>
    <row r="1505" spans="1:5" x14ac:dyDescent="0.25">
      <c r="A1505" s="21"/>
      <c r="B1505" s="168"/>
      <c r="C1505" s="28"/>
      <c r="D1505" s="29"/>
      <c r="E1505" s="29"/>
    </row>
    <row r="1506" spans="1:5" x14ac:dyDescent="0.25">
      <c r="A1506" s="21"/>
      <c r="B1506" s="168"/>
      <c r="C1506" s="28"/>
      <c r="D1506" s="29"/>
      <c r="E1506" s="29"/>
    </row>
    <row r="1507" spans="1:5" x14ac:dyDescent="0.25">
      <c r="A1507" s="21"/>
      <c r="B1507" s="168"/>
      <c r="C1507" s="28"/>
      <c r="D1507" s="29"/>
      <c r="E1507" s="29"/>
    </row>
    <row r="1508" spans="1:5" x14ac:dyDescent="0.25">
      <c r="A1508" s="21"/>
      <c r="B1508" s="168"/>
      <c r="C1508" s="28"/>
      <c r="D1508" s="29"/>
      <c r="E1508" s="29"/>
    </row>
    <row r="1509" spans="1:5" x14ac:dyDescent="0.25">
      <c r="A1509" s="21"/>
      <c r="B1509" s="168"/>
      <c r="C1509" s="28"/>
      <c r="D1509" s="29"/>
      <c r="E1509" s="29"/>
    </row>
    <row r="1510" spans="1:5" x14ac:dyDescent="0.25">
      <c r="A1510" s="21"/>
      <c r="B1510" s="168"/>
      <c r="C1510" s="28"/>
      <c r="D1510" s="29"/>
      <c r="E1510" s="29"/>
    </row>
    <row r="1511" spans="1:5" x14ac:dyDescent="0.25">
      <c r="A1511" s="21"/>
      <c r="B1511" s="168"/>
      <c r="C1511" s="28"/>
      <c r="D1511" s="29"/>
      <c r="E1511" s="29"/>
    </row>
    <row r="1512" spans="1:5" x14ac:dyDescent="0.25">
      <c r="A1512" s="21"/>
      <c r="B1512" s="168"/>
      <c r="C1512" s="28"/>
      <c r="D1512" s="29"/>
      <c r="E1512" s="29"/>
    </row>
    <row r="1513" spans="1:5" x14ac:dyDescent="0.25">
      <c r="A1513" s="21"/>
      <c r="B1513" s="168"/>
      <c r="C1513" s="28"/>
      <c r="D1513" s="29"/>
      <c r="E1513" s="29"/>
    </row>
    <row r="1514" spans="1:5" x14ac:dyDescent="0.25">
      <c r="A1514" s="21"/>
      <c r="B1514" s="168"/>
      <c r="C1514" s="28"/>
      <c r="D1514" s="29"/>
      <c r="E1514" s="29"/>
    </row>
    <row r="1515" spans="1:5" x14ac:dyDescent="0.25">
      <c r="A1515" s="21"/>
      <c r="B1515" s="168"/>
      <c r="C1515" s="28"/>
      <c r="D1515" s="29"/>
      <c r="E1515" s="29"/>
    </row>
    <row r="1516" spans="1:5" x14ac:dyDescent="0.25">
      <c r="A1516" s="21"/>
      <c r="B1516" s="168"/>
      <c r="C1516" s="28"/>
      <c r="D1516" s="29"/>
      <c r="E1516" s="29"/>
    </row>
    <row r="1517" spans="1:5" x14ac:dyDescent="0.25">
      <c r="A1517" s="21"/>
      <c r="B1517" s="168"/>
      <c r="C1517" s="28"/>
      <c r="D1517" s="29"/>
      <c r="E1517" s="29"/>
    </row>
    <row r="1518" spans="1:5" x14ac:dyDescent="0.25">
      <c r="A1518" s="21"/>
      <c r="B1518" s="168"/>
      <c r="C1518" s="28"/>
      <c r="D1518" s="29"/>
      <c r="E1518" s="29"/>
    </row>
    <row r="1519" spans="1:5" x14ac:dyDescent="0.25">
      <c r="A1519" s="21"/>
      <c r="B1519" s="168"/>
      <c r="C1519" s="28"/>
      <c r="D1519" s="29"/>
      <c r="E1519" s="29"/>
    </row>
    <row r="1520" spans="1:5" x14ac:dyDescent="0.25">
      <c r="A1520" s="21"/>
      <c r="B1520" s="168"/>
      <c r="C1520" s="28"/>
      <c r="D1520" s="29"/>
      <c r="E1520" s="29"/>
    </row>
    <row r="1521" spans="1:5" x14ac:dyDescent="0.25">
      <c r="A1521" s="21"/>
      <c r="B1521" s="168"/>
      <c r="C1521" s="28"/>
      <c r="D1521" s="29"/>
      <c r="E1521" s="29"/>
    </row>
    <row r="1522" spans="1:5" x14ac:dyDescent="0.25">
      <c r="A1522" s="21"/>
      <c r="B1522" s="168"/>
      <c r="C1522" s="28"/>
      <c r="D1522" s="29"/>
      <c r="E1522" s="29"/>
    </row>
    <row r="1523" spans="1:5" x14ac:dyDescent="0.25">
      <c r="A1523" s="21"/>
      <c r="B1523" s="168"/>
      <c r="C1523" s="28"/>
      <c r="D1523" s="29"/>
      <c r="E1523" s="29"/>
    </row>
    <row r="1524" spans="1:5" x14ac:dyDescent="0.25">
      <c r="A1524" s="21"/>
      <c r="B1524" s="168"/>
      <c r="C1524" s="28"/>
      <c r="D1524" s="29"/>
      <c r="E1524" s="29"/>
    </row>
    <row r="1525" spans="1:5" x14ac:dyDescent="0.25">
      <c r="A1525" s="21"/>
      <c r="B1525" s="168"/>
      <c r="C1525" s="28"/>
      <c r="D1525" s="29"/>
      <c r="E1525" s="29"/>
    </row>
    <row r="1526" spans="1:5" x14ac:dyDescent="0.25">
      <c r="A1526" s="21"/>
      <c r="B1526" s="168"/>
      <c r="C1526" s="28"/>
      <c r="D1526" s="29"/>
      <c r="E1526" s="29"/>
    </row>
    <row r="1527" spans="1:5" x14ac:dyDescent="0.25">
      <c r="A1527" s="21"/>
      <c r="B1527" s="168"/>
      <c r="C1527" s="28"/>
      <c r="D1527" s="29"/>
      <c r="E1527" s="29"/>
    </row>
    <row r="1528" spans="1:5" x14ac:dyDescent="0.25">
      <c r="A1528" s="21"/>
      <c r="B1528" s="168"/>
      <c r="C1528" s="28"/>
      <c r="D1528" s="29"/>
      <c r="E1528" s="29"/>
    </row>
    <row r="1529" spans="1:5" x14ac:dyDescent="0.25">
      <c r="A1529" s="21"/>
      <c r="B1529" s="168"/>
      <c r="C1529" s="28"/>
      <c r="D1529" s="29"/>
      <c r="E1529" s="29"/>
    </row>
    <row r="1530" spans="1:5" x14ac:dyDescent="0.25">
      <c r="A1530" s="21"/>
      <c r="B1530" s="168"/>
      <c r="C1530" s="28"/>
      <c r="D1530" s="29"/>
      <c r="E1530" s="29"/>
    </row>
    <row r="1531" spans="1:5" x14ac:dyDescent="0.25">
      <c r="A1531" s="21"/>
      <c r="B1531" s="168"/>
      <c r="C1531" s="28"/>
      <c r="D1531" s="29"/>
      <c r="E1531" s="29"/>
    </row>
    <row r="1532" spans="1:5" x14ac:dyDescent="0.25">
      <c r="A1532" s="21"/>
      <c r="B1532" s="168"/>
      <c r="C1532" s="28"/>
      <c r="D1532" s="29"/>
      <c r="E1532" s="29"/>
    </row>
    <row r="1533" spans="1:5" x14ac:dyDescent="0.25">
      <c r="A1533" s="21"/>
      <c r="B1533" s="168"/>
      <c r="C1533" s="28"/>
      <c r="D1533" s="29"/>
      <c r="E1533" s="29"/>
    </row>
    <row r="1534" spans="1:5" x14ac:dyDescent="0.25">
      <c r="A1534" s="21"/>
      <c r="B1534" s="168"/>
      <c r="C1534" s="28"/>
      <c r="D1534" s="29"/>
      <c r="E1534" s="29"/>
    </row>
    <row r="1535" spans="1:5" x14ac:dyDescent="0.25">
      <c r="A1535" s="21"/>
      <c r="B1535" s="168"/>
      <c r="C1535" s="28"/>
      <c r="D1535" s="29"/>
      <c r="E1535" s="29"/>
    </row>
    <row r="1536" spans="1:5" x14ac:dyDescent="0.25">
      <c r="A1536" s="21"/>
      <c r="B1536" s="168"/>
      <c r="C1536" s="28"/>
      <c r="D1536" s="29"/>
      <c r="E1536" s="29"/>
    </row>
    <row r="1537" spans="1:5" x14ac:dyDescent="0.25">
      <c r="A1537" s="21"/>
      <c r="B1537" s="168"/>
      <c r="C1537" s="28"/>
      <c r="D1537" s="29"/>
      <c r="E1537" s="29"/>
    </row>
    <row r="1538" spans="1:5" x14ac:dyDescent="0.25">
      <c r="A1538" s="21"/>
      <c r="B1538" s="168"/>
      <c r="C1538" s="28"/>
      <c r="D1538" s="29"/>
      <c r="E1538" s="29"/>
    </row>
    <row r="1539" spans="1:5" x14ac:dyDescent="0.25">
      <c r="A1539" s="21"/>
      <c r="B1539" s="168"/>
      <c r="C1539" s="28"/>
      <c r="D1539" s="29"/>
      <c r="E1539" s="29"/>
    </row>
    <row r="1540" spans="1:5" x14ac:dyDescent="0.25">
      <c r="A1540" s="21"/>
      <c r="B1540" s="168"/>
      <c r="C1540" s="28"/>
      <c r="D1540" s="29"/>
      <c r="E1540" s="29"/>
    </row>
    <row r="1541" spans="1:5" x14ac:dyDescent="0.25">
      <c r="A1541" s="21"/>
      <c r="B1541" s="168"/>
      <c r="C1541" s="28"/>
      <c r="D1541" s="29"/>
      <c r="E1541" s="29"/>
    </row>
    <row r="1542" spans="1:5" x14ac:dyDescent="0.25">
      <c r="A1542" s="21"/>
      <c r="B1542" s="168"/>
      <c r="C1542" s="28"/>
      <c r="D1542" s="29"/>
      <c r="E1542" s="29"/>
    </row>
    <row r="1543" spans="1:5" x14ac:dyDescent="0.25">
      <c r="A1543" s="21"/>
      <c r="B1543" s="168"/>
      <c r="C1543" s="28"/>
      <c r="D1543" s="29"/>
      <c r="E1543" s="29"/>
    </row>
    <row r="1544" spans="1:5" x14ac:dyDescent="0.25">
      <c r="A1544" s="21"/>
      <c r="B1544" s="168"/>
      <c r="C1544" s="28"/>
      <c r="D1544" s="29"/>
      <c r="E1544" s="29"/>
    </row>
    <row r="1545" spans="1:5" x14ac:dyDescent="0.25">
      <c r="A1545" s="21"/>
      <c r="B1545" s="168"/>
      <c r="C1545" s="28"/>
      <c r="D1545" s="29"/>
      <c r="E1545" s="29"/>
    </row>
    <row r="1546" spans="1:5" x14ac:dyDescent="0.25">
      <c r="A1546" s="21"/>
      <c r="B1546" s="168"/>
      <c r="C1546" s="28"/>
      <c r="D1546" s="29"/>
      <c r="E1546" s="29"/>
    </row>
    <row r="1547" spans="1:5" x14ac:dyDescent="0.25">
      <c r="A1547" s="21"/>
      <c r="B1547" s="168"/>
      <c r="C1547" s="28"/>
      <c r="D1547" s="29"/>
      <c r="E1547" s="29"/>
    </row>
    <row r="1548" spans="1:5" x14ac:dyDescent="0.25">
      <c r="A1548" s="21"/>
      <c r="B1548" s="168"/>
      <c r="C1548" s="28"/>
      <c r="D1548" s="29"/>
      <c r="E1548" s="29"/>
    </row>
    <row r="1549" spans="1:5" x14ac:dyDescent="0.25">
      <c r="A1549" s="21"/>
      <c r="B1549" s="168"/>
      <c r="C1549" s="28"/>
      <c r="D1549" s="29"/>
      <c r="E1549" s="29"/>
    </row>
    <row r="1550" spans="1:5" x14ac:dyDescent="0.25">
      <c r="A1550" s="21"/>
      <c r="B1550" s="168"/>
      <c r="C1550" s="28"/>
      <c r="D1550" s="29"/>
      <c r="E1550" s="29"/>
    </row>
    <row r="1551" spans="1:5" x14ac:dyDescent="0.25">
      <c r="A1551" s="21"/>
      <c r="B1551" s="168"/>
      <c r="C1551" s="28"/>
      <c r="D1551" s="29"/>
      <c r="E1551" s="29"/>
    </row>
    <row r="1552" spans="1:5" x14ac:dyDescent="0.25">
      <c r="A1552" s="21"/>
      <c r="B1552" s="168"/>
      <c r="C1552" s="28"/>
      <c r="D1552" s="29"/>
      <c r="E1552" s="29"/>
    </row>
    <row r="1553" spans="1:5" x14ac:dyDescent="0.25">
      <c r="A1553" s="21"/>
      <c r="B1553" s="168"/>
      <c r="C1553" s="28"/>
      <c r="D1553" s="29"/>
      <c r="E1553" s="29"/>
    </row>
    <row r="1554" spans="1:5" x14ac:dyDescent="0.25">
      <c r="A1554" s="21"/>
      <c r="B1554" s="168"/>
      <c r="C1554" s="28"/>
      <c r="D1554" s="29"/>
      <c r="E1554" s="29"/>
    </row>
    <row r="1555" spans="1:5" x14ac:dyDescent="0.25">
      <c r="A1555" s="21"/>
      <c r="B1555" s="168"/>
      <c r="C1555" s="28"/>
      <c r="D1555" s="29"/>
      <c r="E1555" s="29"/>
    </row>
    <row r="1556" spans="1:5" x14ac:dyDescent="0.25">
      <c r="A1556" s="21"/>
      <c r="B1556" s="168"/>
      <c r="C1556" s="28"/>
      <c r="D1556" s="29"/>
      <c r="E1556" s="29"/>
    </row>
    <row r="1557" spans="1:5" x14ac:dyDescent="0.25">
      <c r="A1557" s="21"/>
      <c r="B1557" s="168"/>
      <c r="C1557" s="28"/>
      <c r="D1557" s="29"/>
      <c r="E1557" s="29"/>
    </row>
    <row r="1558" spans="1:5" x14ac:dyDescent="0.25">
      <c r="A1558" s="21"/>
      <c r="B1558" s="168"/>
      <c r="C1558" s="28"/>
      <c r="D1558" s="29"/>
      <c r="E1558" s="29"/>
    </row>
    <row r="1559" spans="1:5" x14ac:dyDescent="0.25">
      <c r="A1559" s="21"/>
      <c r="B1559" s="168"/>
      <c r="C1559" s="28"/>
      <c r="D1559" s="29"/>
      <c r="E1559" s="29"/>
    </row>
    <row r="1560" spans="1:5" x14ac:dyDescent="0.25">
      <c r="A1560" s="21"/>
      <c r="B1560" s="168"/>
      <c r="C1560" s="28"/>
      <c r="D1560" s="29"/>
      <c r="E1560" s="29"/>
    </row>
    <row r="1561" spans="1:5" x14ac:dyDescent="0.25">
      <c r="A1561" s="21"/>
      <c r="B1561" s="168"/>
      <c r="C1561" s="28"/>
      <c r="D1561" s="29"/>
      <c r="E1561" s="29"/>
    </row>
    <row r="1562" spans="1:5" x14ac:dyDescent="0.25">
      <c r="A1562" s="21"/>
      <c r="B1562" s="168"/>
      <c r="C1562" s="28"/>
      <c r="D1562" s="29"/>
      <c r="E1562" s="29"/>
    </row>
    <row r="1563" spans="1:5" x14ac:dyDescent="0.25">
      <c r="A1563" s="21"/>
      <c r="B1563" s="168"/>
      <c r="C1563" s="28"/>
      <c r="D1563" s="29"/>
      <c r="E1563" s="29"/>
    </row>
    <row r="1564" spans="1:5" x14ac:dyDescent="0.25">
      <c r="A1564" s="21"/>
      <c r="B1564" s="168"/>
      <c r="C1564" s="28"/>
      <c r="D1564" s="29"/>
      <c r="E1564" s="29"/>
    </row>
    <row r="1565" spans="1:5" x14ac:dyDescent="0.25">
      <c r="A1565" s="21"/>
      <c r="B1565" s="168"/>
      <c r="C1565" s="28"/>
      <c r="D1565" s="29"/>
      <c r="E1565" s="29"/>
    </row>
    <row r="1566" spans="1:5" x14ac:dyDescent="0.25">
      <c r="A1566" s="21"/>
      <c r="B1566" s="168"/>
      <c r="C1566" s="28"/>
      <c r="D1566" s="29"/>
      <c r="E1566" s="29"/>
    </row>
    <row r="1567" spans="1:5" x14ac:dyDescent="0.25">
      <c r="A1567" s="21"/>
      <c r="B1567" s="168"/>
      <c r="C1567" s="28"/>
      <c r="D1567" s="29"/>
      <c r="E1567" s="29"/>
    </row>
    <row r="1568" spans="1:5" x14ac:dyDescent="0.25">
      <c r="A1568" s="21"/>
      <c r="B1568" s="168"/>
      <c r="C1568" s="28"/>
      <c r="D1568" s="29"/>
      <c r="E1568" s="29"/>
    </row>
    <row r="1569" spans="1:5" x14ac:dyDescent="0.25">
      <c r="A1569" s="21"/>
      <c r="B1569" s="168"/>
      <c r="C1569" s="28"/>
      <c r="D1569" s="29"/>
      <c r="E1569" s="29"/>
    </row>
    <row r="1570" spans="1:5" x14ac:dyDescent="0.25">
      <c r="A1570" s="21"/>
      <c r="B1570" s="168"/>
      <c r="C1570" s="28"/>
      <c r="D1570" s="29"/>
      <c r="E1570" s="29"/>
    </row>
    <row r="1571" spans="1:5" x14ac:dyDescent="0.25">
      <c r="A1571" s="21"/>
      <c r="B1571" s="168"/>
      <c r="C1571" s="28"/>
      <c r="D1571" s="29"/>
      <c r="E1571" s="29"/>
    </row>
    <row r="1572" spans="1:5" x14ac:dyDescent="0.25">
      <c r="A1572" s="21"/>
      <c r="B1572" s="168"/>
      <c r="C1572" s="28"/>
      <c r="D1572" s="29"/>
      <c r="E1572" s="29"/>
    </row>
    <row r="1573" spans="1:5" x14ac:dyDescent="0.25">
      <c r="A1573" s="21"/>
      <c r="B1573" s="168"/>
      <c r="C1573" s="28"/>
      <c r="D1573" s="29"/>
      <c r="E1573" s="29"/>
    </row>
    <row r="1574" spans="1:5" x14ac:dyDescent="0.25">
      <c r="A1574" s="21"/>
      <c r="B1574" s="168"/>
      <c r="C1574" s="28"/>
      <c r="D1574" s="29"/>
      <c r="E1574" s="29"/>
    </row>
    <row r="1575" spans="1:5" x14ac:dyDescent="0.25">
      <c r="A1575" s="21"/>
      <c r="B1575" s="168"/>
      <c r="C1575" s="28"/>
      <c r="D1575" s="29"/>
      <c r="E1575" s="29"/>
    </row>
    <row r="1576" spans="1:5" x14ac:dyDescent="0.25">
      <c r="A1576" s="21"/>
      <c r="B1576" s="168"/>
      <c r="C1576" s="28"/>
      <c r="D1576" s="29"/>
      <c r="E1576" s="29"/>
    </row>
    <row r="1577" spans="1:5" x14ac:dyDescent="0.25">
      <c r="A1577" s="21"/>
      <c r="B1577" s="168"/>
      <c r="C1577" s="28"/>
      <c r="D1577" s="29"/>
      <c r="E1577" s="29"/>
    </row>
    <row r="1578" spans="1:5" x14ac:dyDescent="0.25">
      <c r="A1578" s="21"/>
      <c r="B1578" s="168"/>
      <c r="C1578" s="28"/>
      <c r="D1578" s="29"/>
      <c r="E1578" s="29"/>
    </row>
    <row r="1579" spans="1:5" x14ac:dyDescent="0.25">
      <c r="A1579" s="21"/>
      <c r="B1579" s="168"/>
      <c r="C1579" s="28"/>
      <c r="D1579" s="29"/>
      <c r="E1579" s="29"/>
    </row>
    <row r="1580" spans="1:5" x14ac:dyDescent="0.25">
      <c r="A1580" s="21"/>
      <c r="B1580" s="168"/>
      <c r="C1580" s="28"/>
      <c r="D1580" s="29"/>
      <c r="E1580" s="29"/>
    </row>
    <row r="1581" spans="1:5" x14ac:dyDescent="0.25">
      <c r="A1581" s="21"/>
      <c r="B1581" s="168"/>
      <c r="C1581" s="28"/>
      <c r="D1581" s="29"/>
      <c r="E1581" s="29"/>
    </row>
    <row r="1582" spans="1:5" x14ac:dyDescent="0.25">
      <c r="A1582" s="21"/>
      <c r="B1582" s="168"/>
      <c r="C1582" s="28"/>
      <c r="D1582" s="29"/>
      <c r="E1582" s="29"/>
    </row>
    <row r="1583" spans="1:5" x14ac:dyDescent="0.25">
      <c r="A1583" s="21"/>
      <c r="B1583" s="168"/>
      <c r="C1583" s="28"/>
      <c r="D1583" s="29"/>
      <c r="E1583" s="29"/>
    </row>
    <row r="1584" spans="1:5" x14ac:dyDescent="0.25">
      <c r="A1584" s="21"/>
      <c r="B1584" s="168"/>
      <c r="C1584" s="28"/>
      <c r="D1584" s="29"/>
      <c r="E1584" s="29"/>
    </row>
    <row r="1585" spans="1:5" x14ac:dyDescent="0.25">
      <c r="A1585" s="21"/>
      <c r="B1585" s="168"/>
      <c r="C1585" s="28"/>
      <c r="D1585" s="29"/>
      <c r="E1585" s="29"/>
    </row>
    <row r="1586" spans="1:5" x14ac:dyDescent="0.25">
      <c r="A1586" s="21"/>
      <c r="B1586" s="168"/>
      <c r="C1586" s="28"/>
      <c r="D1586" s="29"/>
      <c r="E1586" s="29"/>
    </row>
    <row r="1587" spans="1:5" x14ac:dyDescent="0.25">
      <c r="A1587" s="21"/>
      <c r="B1587" s="168"/>
      <c r="C1587" s="28"/>
      <c r="D1587" s="29"/>
      <c r="E1587" s="29"/>
    </row>
    <row r="1588" spans="1:5" x14ac:dyDescent="0.25">
      <c r="A1588" s="21"/>
      <c r="B1588" s="168"/>
      <c r="C1588" s="28"/>
      <c r="D1588" s="29"/>
      <c r="E1588" s="29"/>
    </row>
    <row r="1589" spans="1:5" x14ac:dyDescent="0.25">
      <c r="A1589" s="21"/>
      <c r="B1589" s="168"/>
      <c r="C1589" s="28"/>
      <c r="D1589" s="29"/>
      <c r="E1589" s="29"/>
    </row>
    <row r="1590" spans="1:5" x14ac:dyDescent="0.25">
      <c r="A1590" s="21"/>
      <c r="B1590" s="168"/>
      <c r="C1590" s="28"/>
      <c r="D1590" s="29"/>
      <c r="E1590" s="29"/>
    </row>
    <row r="1591" spans="1:5" x14ac:dyDescent="0.25">
      <c r="A1591" s="21"/>
      <c r="B1591" s="168"/>
      <c r="C1591" s="28"/>
      <c r="D1591" s="29"/>
      <c r="E1591" s="29"/>
    </row>
    <row r="1592" spans="1:5" x14ac:dyDescent="0.25">
      <c r="A1592" s="21"/>
      <c r="B1592" s="168"/>
      <c r="C1592" s="28"/>
      <c r="D1592" s="29"/>
      <c r="E1592" s="29"/>
    </row>
    <row r="1593" spans="1:5" x14ac:dyDescent="0.25">
      <c r="A1593" s="21"/>
      <c r="B1593" s="168"/>
      <c r="C1593" s="28"/>
      <c r="D1593" s="29"/>
      <c r="E1593" s="29"/>
    </row>
    <row r="1594" spans="1:5" x14ac:dyDescent="0.25">
      <c r="A1594" s="21"/>
      <c r="B1594" s="168"/>
      <c r="C1594" s="28"/>
      <c r="D1594" s="29"/>
      <c r="E1594" s="29"/>
    </row>
    <row r="1595" spans="1:5" x14ac:dyDescent="0.25">
      <c r="A1595" s="21"/>
      <c r="B1595" s="168"/>
      <c r="C1595" s="28"/>
      <c r="D1595" s="29"/>
      <c r="E1595" s="29"/>
    </row>
    <row r="1596" spans="1:5" x14ac:dyDescent="0.25">
      <c r="A1596" s="21"/>
      <c r="B1596" s="168"/>
      <c r="C1596" s="28"/>
      <c r="D1596" s="29"/>
      <c r="E1596" s="29"/>
    </row>
    <row r="1597" spans="1:5" x14ac:dyDescent="0.25">
      <c r="A1597" s="21"/>
      <c r="B1597" s="168"/>
      <c r="C1597" s="28"/>
      <c r="D1597" s="29"/>
      <c r="E1597" s="29"/>
    </row>
    <row r="1598" spans="1:5" x14ac:dyDescent="0.25">
      <c r="A1598" s="21"/>
      <c r="B1598" s="168"/>
      <c r="C1598" s="28"/>
      <c r="D1598" s="29"/>
      <c r="E1598" s="29"/>
    </row>
    <row r="1599" spans="1:5" x14ac:dyDescent="0.25">
      <c r="A1599" s="21"/>
      <c r="B1599" s="168"/>
      <c r="C1599" s="28"/>
      <c r="D1599" s="29"/>
      <c r="E1599" s="29"/>
    </row>
    <row r="1600" spans="1:5" x14ac:dyDescent="0.25">
      <c r="A1600" s="21"/>
      <c r="B1600" s="168"/>
      <c r="C1600" s="28"/>
      <c r="D1600" s="29"/>
      <c r="E1600" s="29"/>
    </row>
    <row r="1601" spans="1:5" x14ac:dyDescent="0.25">
      <c r="A1601" s="21"/>
      <c r="B1601" s="168"/>
      <c r="C1601" s="28"/>
      <c r="D1601" s="29"/>
      <c r="E1601" s="29"/>
    </row>
    <row r="1602" spans="1:5" x14ac:dyDescent="0.25">
      <c r="A1602" s="21"/>
      <c r="B1602" s="168"/>
      <c r="C1602" s="28"/>
      <c r="D1602" s="29"/>
      <c r="E1602" s="29"/>
    </row>
    <row r="1603" spans="1:5" x14ac:dyDescent="0.25">
      <c r="A1603" s="21"/>
      <c r="B1603" s="168"/>
      <c r="C1603" s="28"/>
      <c r="D1603" s="29"/>
      <c r="E1603" s="29"/>
    </row>
    <row r="1604" spans="1:5" x14ac:dyDescent="0.25">
      <c r="A1604" s="21"/>
      <c r="B1604" s="168"/>
      <c r="C1604" s="28"/>
      <c r="D1604" s="29"/>
      <c r="E1604" s="29"/>
    </row>
    <row r="1605" spans="1:5" x14ac:dyDescent="0.25">
      <c r="A1605" s="21"/>
      <c r="B1605" s="168"/>
      <c r="C1605" s="28"/>
      <c r="D1605" s="29"/>
      <c r="E1605" s="29"/>
    </row>
    <row r="1606" spans="1:5" x14ac:dyDescent="0.25">
      <c r="A1606" s="21"/>
      <c r="B1606" s="168"/>
      <c r="C1606" s="28"/>
      <c r="D1606" s="29"/>
      <c r="E1606" s="29"/>
    </row>
    <row r="1607" spans="1:5" x14ac:dyDescent="0.25">
      <c r="A1607" s="21"/>
      <c r="B1607" s="168"/>
      <c r="C1607" s="28"/>
      <c r="D1607" s="29"/>
      <c r="E1607" s="29"/>
    </row>
    <row r="1608" spans="1:5" x14ac:dyDescent="0.25">
      <c r="A1608" s="21"/>
      <c r="B1608" s="168"/>
      <c r="C1608" s="28"/>
      <c r="D1608" s="29"/>
      <c r="E1608" s="29"/>
    </row>
    <row r="1609" spans="1:5" x14ac:dyDescent="0.25">
      <c r="A1609" s="21"/>
      <c r="B1609" s="168"/>
      <c r="C1609" s="28"/>
      <c r="D1609" s="29"/>
      <c r="E1609" s="29"/>
    </row>
    <row r="1610" spans="1:5" x14ac:dyDescent="0.25">
      <c r="A1610" s="21"/>
      <c r="B1610" s="168"/>
      <c r="C1610" s="28"/>
      <c r="D1610" s="29"/>
      <c r="E1610" s="29"/>
    </row>
    <row r="1611" spans="1:5" x14ac:dyDescent="0.25">
      <c r="A1611" s="21"/>
      <c r="B1611" s="168"/>
      <c r="C1611" s="28"/>
      <c r="D1611" s="29"/>
      <c r="E1611" s="29"/>
    </row>
    <row r="1612" spans="1:5" x14ac:dyDescent="0.25">
      <c r="A1612" s="21"/>
      <c r="B1612" s="168"/>
      <c r="C1612" s="28"/>
      <c r="D1612" s="29"/>
      <c r="E1612" s="29"/>
    </row>
    <row r="1613" spans="1:5" x14ac:dyDescent="0.25">
      <c r="A1613" s="21"/>
      <c r="B1613" s="168"/>
      <c r="C1613" s="28"/>
      <c r="D1613" s="29"/>
      <c r="E1613" s="29"/>
    </row>
    <row r="1614" spans="1:5" x14ac:dyDescent="0.25">
      <c r="A1614" s="21"/>
      <c r="B1614" s="168"/>
      <c r="C1614" s="28"/>
      <c r="D1614" s="29"/>
      <c r="E1614" s="29"/>
    </row>
    <row r="1615" spans="1:5" x14ac:dyDescent="0.25">
      <c r="A1615" s="21"/>
      <c r="B1615" s="168"/>
      <c r="C1615" s="28"/>
      <c r="D1615" s="29"/>
      <c r="E1615" s="29"/>
    </row>
    <row r="1616" spans="1:5" x14ac:dyDescent="0.25">
      <c r="A1616" s="21"/>
      <c r="B1616" s="168"/>
      <c r="C1616" s="28"/>
      <c r="D1616" s="29"/>
      <c r="E1616" s="29"/>
    </row>
    <row r="1617" spans="1:5" x14ac:dyDescent="0.25">
      <c r="A1617" s="21"/>
      <c r="B1617" s="168"/>
      <c r="C1617" s="28"/>
      <c r="D1617" s="29"/>
      <c r="E1617" s="29"/>
    </row>
    <row r="1618" spans="1:5" x14ac:dyDescent="0.25">
      <c r="A1618" s="21"/>
      <c r="B1618" s="168"/>
      <c r="C1618" s="28"/>
      <c r="D1618" s="29"/>
      <c r="E1618" s="29"/>
    </row>
    <row r="1619" spans="1:5" x14ac:dyDescent="0.25">
      <c r="A1619" s="21"/>
      <c r="B1619" s="168"/>
      <c r="C1619" s="28"/>
      <c r="D1619" s="29"/>
      <c r="E1619" s="29"/>
    </row>
    <row r="1620" spans="1:5" x14ac:dyDescent="0.25">
      <c r="A1620" s="21"/>
      <c r="B1620" s="168"/>
      <c r="C1620" s="28"/>
      <c r="D1620" s="29"/>
      <c r="E1620" s="29"/>
    </row>
    <row r="1621" spans="1:5" x14ac:dyDescent="0.25">
      <c r="A1621" s="21"/>
      <c r="B1621" s="168"/>
      <c r="C1621" s="28"/>
      <c r="D1621" s="29"/>
      <c r="E1621" s="29"/>
    </row>
    <row r="1622" spans="1:5" x14ac:dyDescent="0.25">
      <c r="A1622" s="21"/>
      <c r="B1622" s="168"/>
      <c r="C1622" s="28"/>
      <c r="D1622" s="29"/>
      <c r="E1622" s="29"/>
    </row>
    <row r="1623" spans="1:5" x14ac:dyDescent="0.25">
      <c r="A1623" s="21"/>
      <c r="B1623" s="168"/>
      <c r="C1623" s="28"/>
      <c r="D1623" s="29"/>
      <c r="E1623" s="29"/>
    </row>
    <row r="1624" spans="1:5" x14ac:dyDescent="0.25">
      <c r="A1624" s="21"/>
      <c r="B1624" s="168"/>
      <c r="C1624" s="28"/>
      <c r="D1624" s="29"/>
      <c r="E1624" s="29"/>
    </row>
    <row r="1625" spans="1:5" x14ac:dyDescent="0.25">
      <c r="A1625" s="21"/>
      <c r="B1625" s="168"/>
      <c r="C1625" s="28"/>
      <c r="D1625" s="29"/>
      <c r="E1625" s="29"/>
    </row>
    <row r="1626" spans="1:5" x14ac:dyDescent="0.25">
      <c r="A1626" s="21"/>
      <c r="B1626" s="168"/>
      <c r="C1626" s="28"/>
      <c r="D1626" s="29"/>
      <c r="E1626" s="29"/>
    </row>
    <row r="1627" spans="1:5" x14ac:dyDescent="0.25">
      <c r="A1627" s="21"/>
      <c r="B1627" s="168"/>
      <c r="C1627" s="28"/>
      <c r="D1627" s="29"/>
      <c r="E1627" s="29"/>
    </row>
    <row r="1628" spans="1:5" x14ac:dyDescent="0.25">
      <c r="A1628" s="21"/>
      <c r="B1628" s="168"/>
      <c r="C1628" s="28"/>
      <c r="D1628" s="29"/>
      <c r="E1628" s="29"/>
    </row>
    <row r="1629" spans="1:5" x14ac:dyDescent="0.25">
      <c r="A1629" s="21"/>
      <c r="B1629" s="168"/>
      <c r="C1629" s="28"/>
      <c r="D1629" s="29"/>
      <c r="E1629" s="29"/>
    </row>
    <row r="1630" spans="1:5" x14ac:dyDescent="0.25">
      <c r="A1630" s="21"/>
      <c r="B1630" s="168"/>
      <c r="C1630" s="28"/>
      <c r="D1630" s="29"/>
      <c r="E1630" s="29"/>
    </row>
    <row r="1631" spans="1:5" x14ac:dyDescent="0.25">
      <c r="A1631" s="21"/>
      <c r="B1631" s="168"/>
      <c r="C1631" s="28"/>
      <c r="D1631" s="29"/>
      <c r="E1631" s="29"/>
    </row>
    <row r="1632" spans="1:5" x14ac:dyDescent="0.25">
      <c r="A1632" s="21"/>
      <c r="B1632" s="168"/>
      <c r="C1632" s="28"/>
      <c r="D1632" s="29"/>
      <c r="E1632" s="29"/>
    </row>
    <row r="1633" spans="1:5" x14ac:dyDescent="0.25">
      <c r="A1633" s="21"/>
      <c r="B1633" s="168"/>
      <c r="C1633" s="28"/>
      <c r="D1633" s="29"/>
      <c r="E1633" s="29"/>
    </row>
    <row r="1634" spans="1:5" x14ac:dyDescent="0.25">
      <c r="A1634" s="21"/>
      <c r="B1634" s="168"/>
      <c r="C1634" s="28"/>
      <c r="D1634" s="29"/>
      <c r="E1634" s="29"/>
    </row>
    <row r="1635" spans="1:5" x14ac:dyDescent="0.25">
      <c r="A1635" s="21"/>
      <c r="B1635" s="168"/>
      <c r="C1635" s="28"/>
      <c r="D1635" s="29"/>
      <c r="E1635" s="29"/>
    </row>
    <row r="1636" spans="1:5" x14ac:dyDescent="0.25">
      <c r="A1636" s="21"/>
      <c r="B1636" s="168"/>
      <c r="C1636" s="28"/>
      <c r="D1636" s="29"/>
      <c r="E1636" s="29"/>
    </row>
    <row r="1637" spans="1:5" x14ac:dyDescent="0.25">
      <c r="A1637" s="21"/>
      <c r="B1637" s="168"/>
      <c r="C1637" s="28"/>
      <c r="D1637" s="29"/>
      <c r="E1637" s="29"/>
    </row>
    <row r="1638" spans="1:5" x14ac:dyDescent="0.25">
      <c r="A1638" s="21"/>
      <c r="B1638" s="168"/>
      <c r="C1638" s="28"/>
      <c r="D1638" s="29"/>
      <c r="E1638" s="29"/>
    </row>
    <row r="1639" spans="1:5" x14ac:dyDescent="0.25">
      <c r="A1639" s="21"/>
      <c r="B1639" s="168"/>
      <c r="C1639" s="28"/>
      <c r="D1639" s="29"/>
      <c r="E1639" s="29"/>
    </row>
    <row r="1640" spans="1:5" x14ac:dyDescent="0.25">
      <c r="A1640" s="21"/>
      <c r="B1640" s="168"/>
      <c r="C1640" s="28"/>
      <c r="D1640" s="29"/>
      <c r="E1640" s="29"/>
    </row>
    <row r="1641" spans="1:5" x14ac:dyDescent="0.25">
      <c r="A1641" s="21"/>
      <c r="B1641" s="168"/>
      <c r="C1641" s="28"/>
      <c r="D1641" s="29"/>
      <c r="E1641" s="29"/>
    </row>
    <row r="1642" spans="1:5" x14ac:dyDescent="0.25">
      <c r="A1642" s="21"/>
      <c r="B1642" s="168"/>
      <c r="C1642" s="28"/>
      <c r="D1642" s="29"/>
      <c r="E1642" s="29"/>
    </row>
    <row r="1643" spans="1:5" x14ac:dyDescent="0.25">
      <c r="A1643" s="21"/>
      <c r="B1643" s="168"/>
      <c r="C1643" s="28"/>
      <c r="D1643" s="29"/>
      <c r="E1643" s="29"/>
    </row>
    <row r="1644" spans="1:5" x14ac:dyDescent="0.25">
      <c r="A1644" s="21"/>
      <c r="B1644" s="168"/>
      <c r="C1644" s="28"/>
      <c r="D1644" s="29"/>
      <c r="E1644" s="29"/>
    </row>
    <row r="1645" spans="1:5" x14ac:dyDescent="0.25">
      <c r="A1645" s="21"/>
      <c r="B1645" s="168"/>
      <c r="C1645" s="28"/>
      <c r="D1645" s="29"/>
      <c r="E1645" s="29"/>
    </row>
    <row r="1646" spans="1:5" x14ac:dyDescent="0.25">
      <c r="A1646" s="21"/>
      <c r="B1646" s="168"/>
      <c r="C1646" s="28"/>
      <c r="D1646" s="29"/>
      <c r="E1646" s="29"/>
    </row>
    <row r="1647" spans="1:5" x14ac:dyDescent="0.25">
      <c r="A1647" s="21"/>
      <c r="B1647" s="168"/>
      <c r="C1647" s="28"/>
      <c r="D1647" s="29"/>
      <c r="E1647" s="29"/>
    </row>
    <row r="1648" spans="1:5" x14ac:dyDescent="0.25">
      <c r="A1648" s="21"/>
      <c r="B1648" s="168"/>
      <c r="C1648" s="28"/>
      <c r="D1648" s="29"/>
      <c r="E1648" s="29"/>
    </row>
    <row r="1649" spans="1:5" x14ac:dyDescent="0.25">
      <c r="A1649" s="21"/>
      <c r="B1649" s="168"/>
      <c r="C1649" s="28"/>
      <c r="D1649" s="29"/>
      <c r="E1649" s="29"/>
    </row>
    <row r="1650" spans="1:5" x14ac:dyDescent="0.25">
      <c r="A1650" s="21"/>
      <c r="B1650" s="168"/>
      <c r="C1650" s="28"/>
      <c r="D1650" s="29"/>
      <c r="E1650" s="29"/>
    </row>
    <row r="1651" spans="1:5" x14ac:dyDescent="0.25">
      <c r="A1651" s="21"/>
      <c r="B1651" s="168"/>
      <c r="C1651" s="28"/>
      <c r="D1651" s="29"/>
      <c r="E1651" s="29"/>
    </row>
    <row r="1652" spans="1:5" x14ac:dyDescent="0.25">
      <c r="A1652" s="21"/>
      <c r="B1652" s="168"/>
      <c r="C1652" s="28"/>
      <c r="D1652" s="29"/>
      <c r="E1652" s="29"/>
    </row>
    <row r="1653" spans="1:5" x14ac:dyDescent="0.25">
      <c r="A1653" s="21"/>
      <c r="B1653" s="168"/>
      <c r="C1653" s="28"/>
      <c r="D1653" s="29"/>
      <c r="E1653" s="29"/>
    </row>
    <row r="1654" spans="1:5" x14ac:dyDescent="0.25">
      <c r="A1654" s="21"/>
      <c r="B1654" s="168"/>
      <c r="C1654" s="28"/>
      <c r="D1654" s="29"/>
      <c r="E1654" s="29"/>
    </row>
    <row r="1655" spans="1:5" x14ac:dyDescent="0.25">
      <c r="A1655" s="21"/>
      <c r="B1655" s="168"/>
      <c r="C1655" s="28"/>
      <c r="D1655" s="29"/>
      <c r="E1655" s="29"/>
    </row>
    <row r="1656" spans="1:5" x14ac:dyDescent="0.25">
      <c r="A1656" s="21"/>
      <c r="B1656" s="168"/>
      <c r="C1656" s="28"/>
      <c r="D1656" s="29"/>
      <c r="E1656" s="29"/>
    </row>
    <row r="1657" spans="1:5" x14ac:dyDescent="0.25">
      <c r="A1657" s="21"/>
      <c r="B1657" s="168"/>
      <c r="C1657" s="28"/>
      <c r="D1657" s="29"/>
      <c r="E1657" s="29"/>
    </row>
    <row r="1658" spans="1:5" x14ac:dyDescent="0.25">
      <c r="A1658" s="21"/>
      <c r="B1658" s="168"/>
      <c r="C1658" s="28"/>
      <c r="D1658" s="29"/>
      <c r="E1658" s="29"/>
    </row>
    <row r="1659" spans="1:5" x14ac:dyDescent="0.25">
      <c r="A1659" s="21"/>
      <c r="B1659" s="168"/>
      <c r="C1659" s="28"/>
      <c r="D1659" s="29"/>
      <c r="E1659" s="29"/>
    </row>
    <row r="1660" spans="1:5" x14ac:dyDescent="0.25">
      <c r="A1660" s="21"/>
      <c r="B1660" s="168"/>
      <c r="C1660" s="28"/>
      <c r="D1660" s="29"/>
      <c r="E1660" s="29"/>
    </row>
    <row r="1661" spans="1:5" x14ac:dyDescent="0.25">
      <c r="A1661" s="21"/>
      <c r="B1661" s="168"/>
      <c r="C1661" s="28"/>
      <c r="D1661" s="29"/>
      <c r="E1661" s="29"/>
    </row>
    <row r="1662" spans="1:5" x14ac:dyDescent="0.25">
      <c r="A1662" s="21"/>
      <c r="B1662" s="168"/>
      <c r="C1662" s="28"/>
      <c r="D1662" s="29"/>
      <c r="E1662" s="29"/>
    </row>
    <row r="1663" spans="1:5" x14ac:dyDescent="0.25">
      <c r="A1663" s="21"/>
      <c r="B1663" s="168"/>
      <c r="C1663" s="28"/>
      <c r="D1663" s="29"/>
      <c r="E1663" s="29"/>
    </row>
    <row r="1664" spans="1:5" x14ac:dyDescent="0.25">
      <c r="A1664" s="21"/>
      <c r="B1664" s="168"/>
      <c r="C1664" s="28"/>
      <c r="D1664" s="29"/>
      <c r="E1664" s="29"/>
    </row>
    <row r="1665" spans="1:5" x14ac:dyDescent="0.25">
      <c r="A1665" s="21"/>
      <c r="B1665" s="168"/>
      <c r="C1665" s="28"/>
      <c r="D1665" s="29"/>
      <c r="E1665" s="29"/>
    </row>
    <row r="1666" spans="1:5" x14ac:dyDescent="0.25">
      <c r="A1666" s="21"/>
      <c r="B1666" s="168"/>
      <c r="C1666" s="28"/>
      <c r="D1666" s="29"/>
      <c r="E1666" s="29"/>
    </row>
    <row r="1667" spans="1:5" x14ac:dyDescent="0.25">
      <c r="A1667" s="21"/>
      <c r="B1667" s="168"/>
      <c r="C1667" s="28"/>
      <c r="D1667" s="29"/>
      <c r="E1667" s="29"/>
    </row>
    <row r="1668" spans="1:5" x14ac:dyDescent="0.25">
      <c r="A1668" s="21"/>
      <c r="B1668" s="168"/>
      <c r="C1668" s="28"/>
      <c r="D1668" s="29"/>
      <c r="E1668" s="29"/>
    </row>
    <row r="1669" spans="1:5" x14ac:dyDescent="0.25">
      <c r="A1669" s="21"/>
      <c r="B1669" s="168"/>
      <c r="C1669" s="28"/>
      <c r="D1669" s="29"/>
      <c r="E1669" s="29"/>
    </row>
    <row r="1670" spans="1:5" x14ac:dyDescent="0.25">
      <c r="A1670" s="21"/>
      <c r="B1670" s="168"/>
      <c r="C1670" s="28"/>
      <c r="D1670" s="29"/>
      <c r="E1670" s="29"/>
    </row>
    <row r="1671" spans="1:5" x14ac:dyDescent="0.25">
      <c r="A1671" s="21"/>
      <c r="B1671" s="168"/>
      <c r="C1671" s="28"/>
      <c r="D1671" s="29"/>
      <c r="E1671" s="29"/>
    </row>
    <row r="1672" spans="1:5" x14ac:dyDescent="0.25">
      <c r="A1672" s="21"/>
      <c r="B1672" s="168"/>
      <c r="C1672" s="28"/>
      <c r="D1672" s="29"/>
      <c r="E1672" s="29"/>
    </row>
    <row r="1673" spans="1:5" x14ac:dyDescent="0.25">
      <c r="A1673" s="21"/>
      <c r="B1673" s="168"/>
      <c r="C1673" s="28"/>
      <c r="D1673" s="29"/>
      <c r="E1673" s="29"/>
    </row>
    <row r="1674" spans="1:5" x14ac:dyDescent="0.25">
      <c r="A1674" s="21"/>
      <c r="B1674" s="168"/>
      <c r="C1674" s="28"/>
      <c r="D1674" s="29"/>
      <c r="E1674" s="29"/>
    </row>
    <row r="1675" spans="1:5" x14ac:dyDescent="0.25">
      <c r="A1675" s="21"/>
      <c r="B1675" s="168"/>
      <c r="C1675" s="28"/>
      <c r="D1675" s="29"/>
      <c r="E1675" s="29"/>
    </row>
    <row r="1676" spans="1:5" x14ac:dyDescent="0.25">
      <c r="A1676" s="21"/>
      <c r="B1676" s="168"/>
      <c r="C1676" s="28"/>
      <c r="D1676" s="29"/>
      <c r="E1676" s="29"/>
    </row>
    <row r="1677" spans="1:5" x14ac:dyDescent="0.25">
      <c r="A1677" s="21"/>
      <c r="B1677" s="168"/>
      <c r="C1677" s="28"/>
      <c r="D1677" s="29"/>
      <c r="E1677" s="29"/>
    </row>
    <row r="1678" spans="1:5" x14ac:dyDescent="0.25">
      <c r="A1678" s="21"/>
      <c r="B1678" s="168"/>
      <c r="C1678" s="28"/>
      <c r="D1678" s="29"/>
      <c r="E1678" s="29"/>
    </row>
    <row r="1679" spans="1:5" x14ac:dyDescent="0.25">
      <c r="A1679" s="21"/>
      <c r="B1679" s="168"/>
      <c r="C1679" s="28"/>
      <c r="D1679" s="29"/>
      <c r="E1679" s="29"/>
    </row>
    <row r="1680" spans="1:5" x14ac:dyDescent="0.25">
      <c r="A1680" s="21"/>
      <c r="B1680" s="168"/>
      <c r="C1680" s="28"/>
      <c r="D1680" s="29"/>
      <c r="E1680" s="29"/>
    </row>
    <row r="1681" spans="1:5" x14ac:dyDescent="0.25">
      <c r="A1681" s="21"/>
      <c r="B1681" s="168"/>
      <c r="C1681" s="28"/>
      <c r="D1681" s="29"/>
      <c r="E1681" s="29"/>
    </row>
    <row r="1682" spans="1:5" x14ac:dyDescent="0.25">
      <c r="A1682" s="21"/>
      <c r="B1682" s="168"/>
      <c r="C1682" s="28"/>
      <c r="D1682" s="29"/>
      <c r="E1682" s="29"/>
    </row>
    <row r="1683" spans="1:5" x14ac:dyDescent="0.25">
      <c r="A1683" s="21"/>
      <c r="B1683" s="168"/>
      <c r="C1683" s="28"/>
      <c r="D1683" s="29"/>
      <c r="E1683" s="29"/>
    </row>
    <row r="1684" spans="1:5" x14ac:dyDescent="0.25">
      <c r="A1684" s="21"/>
      <c r="B1684" s="168"/>
      <c r="C1684" s="28"/>
      <c r="D1684" s="29"/>
      <c r="E1684" s="29"/>
    </row>
    <row r="1685" spans="1:5" x14ac:dyDescent="0.25">
      <c r="A1685" s="21"/>
      <c r="B1685" s="168"/>
      <c r="C1685" s="28"/>
      <c r="D1685" s="29"/>
      <c r="E1685" s="29"/>
    </row>
    <row r="1686" spans="1:5" x14ac:dyDescent="0.25">
      <c r="A1686" s="21"/>
      <c r="B1686" s="168"/>
      <c r="C1686" s="28"/>
      <c r="D1686" s="29"/>
      <c r="E1686" s="29"/>
    </row>
    <row r="1687" spans="1:5" x14ac:dyDescent="0.25">
      <c r="A1687" s="21"/>
      <c r="B1687" s="168"/>
      <c r="C1687" s="28"/>
      <c r="D1687" s="29"/>
      <c r="E1687" s="29"/>
    </row>
    <row r="1688" spans="1:5" x14ac:dyDescent="0.25">
      <c r="A1688" s="21"/>
      <c r="B1688" s="168"/>
      <c r="C1688" s="28"/>
      <c r="D1688" s="29"/>
      <c r="E1688" s="29"/>
    </row>
    <row r="1689" spans="1:5" x14ac:dyDescent="0.25">
      <c r="A1689" s="21"/>
      <c r="B1689" s="168"/>
      <c r="C1689" s="28"/>
      <c r="D1689" s="29"/>
      <c r="E1689" s="29"/>
    </row>
    <row r="1690" spans="1:5" x14ac:dyDescent="0.25">
      <c r="A1690" s="21"/>
      <c r="B1690" s="168"/>
      <c r="C1690" s="28"/>
      <c r="D1690" s="29"/>
      <c r="E1690" s="29"/>
    </row>
    <row r="1691" spans="1:5" x14ac:dyDescent="0.25">
      <c r="A1691" s="21"/>
      <c r="B1691" s="168"/>
      <c r="C1691" s="28"/>
      <c r="D1691" s="29"/>
      <c r="E1691" s="29"/>
    </row>
    <row r="1692" spans="1:5" x14ac:dyDescent="0.25">
      <c r="A1692" s="21"/>
      <c r="B1692" s="168"/>
      <c r="C1692" s="28"/>
      <c r="D1692" s="29"/>
      <c r="E1692" s="29"/>
    </row>
    <row r="1693" spans="1:5" x14ac:dyDescent="0.25">
      <c r="A1693" s="21"/>
      <c r="B1693" s="168"/>
      <c r="C1693" s="28"/>
      <c r="D1693" s="29"/>
      <c r="E1693" s="29"/>
    </row>
    <row r="1694" spans="1:5" x14ac:dyDescent="0.25">
      <c r="A1694" s="21"/>
      <c r="B1694" s="168"/>
      <c r="C1694" s="28"/>
      <c r="D1694" s="29"/>
      <c r="E1694" s="29"/>
    </row>
    <row r="1695" spans="1:5" x14ac:dyDescent="0.25">
      <c r="A1695" s="21"/>
      <c r="B1695" s="168"/>
      <c r="C1695" s="28"/>
      <c r="D1695" s="29"/>
      <c r="E1695" s="29"/>
    </row>
    <row r="1696" spans="1:5" x14ac:dyDescent="0.25">
      <c r="A1696" s="21"/>
      <c r="B1696" s="168"/>
      <c r="C1696" s="28"/>
      <c r="D1696" s="29"/>
      <c r="E1696" s="29"/>
    </row>
    <row r="1697" spans="1:5" x14ac:dyDescent="0.25">
      <c r="A1697" s="21"/>
      <c r="B1697" s="168"/>
      <c r="C1697" s="28"/>
      <c r="D1697" s="29"/>
      <c r="E1697" s="29"/>
    </row>
    <row r="1698" spans="1:5" x14ac:dyDescent="0.25">
      <c r="A1698" s="21"/>
      <c r="B1698" s="168"/>
      <c r="C1698" s="28"/>
      <c r="D1698" s="29"/>
      <c r="E1698" s="29"/>
    </row>
    <row r="1699" spans="1:5" x14ac:dyDescent="0.25">
      <c r="A1699" s="21"/>
      <c r="B1699" s="168"/>
      <c r="C1699" s="28"/>
      <c r="D1699" s="29"/>
      <c r="E1699" s="29"/>
    </row>
    <row r="1700" spans="1:5" x14ac:dyDescent="0.25">
      <c r="A1700" s="21"/>
      <c r="B1700" s="168"/>
      <c r="C1700" s="28"/>
      <c r="D1700" s="29"/>
      <c r="E1700" s="29"/>
    </row>
    <row r="1701" spans="1:5" x14ac:dyDescent="0.25">
      <c r="A1701" s="21"/>
      <c r="B1701" s="168"/>
      <c r="C1701" s="28"/>
      <c r="D1701" s="29"/>
      <c r="E1701" s="29"/>
    </row>
    <row r="1702" spans="1:5" x14ac:dyDescent="0.25">
      <c r="A1702" s="21"/>
      <c r="B1702" s="168"/>
      <c r="C1702" s="28"/>
      <c r="D1702" s="29"/>
      <c r="E1702" s="29"/>
    </row>
    <row r="1703" spans="1:5" x14ac:dyDescent="0.25">
      <c r="A1703" s="21"/>
      <c r="B1703" s="168"/>
      <c r="C1703" s="28"/>
      <c r="D1703" s="29"/>
      <c r="E1703" s="29"/>
    </row>
    <row r="1704" spans="1:5" x14ac:dyDescent="0.25">
      <c r="A1704" s="21"/>
      <c r="B1704" s="168"/>
      <c r="C1704" s="28"/>
      <c r="D1704" s="29"/>
      <c r="E1704" s="29"/>
    </row>
    <row r="1705" spans="1:5" x14ac:dyDescent="0.25">
      <c r="A1705" s="21"/>
      <c r="B1705" s="168"/>
      <c r="C1705" s="28"/>
      <c r="D1705" s="29"/>
      <c r="E1705" s="29"/>
    </row>
    <row r="1706" spans="1:5" x14ac:dyDescent="0.25">
      <c r="A1706" s="21"/>
      <c r="B1706" s="168"/>
      <c r="C1706" s="28"/>
      <c r="D1706" s="29"/>
      <c r="E1706" s="29"/>
    </row>
    <row r="1707" spans="1:5" x14ac:dyDescent="0.25">
      <c r="A1707" s="21"/>
      <c r="B1707" s="168"/>
      <c r="C1707" s="28"/>
      <c r="D1707" s="29"/>
      <c r="E1707" s="29"/>
    </row>
    <row r="1708" spans="1:5" x14ac:dyDescent="0.25">
      <c r="A1708" s="21"/>
      <c r="B1708" s="168"/>
      <c r="C1708" s="28"/>
      <c r="D1708" s="29"/>
      <c r="E1708" s="29"/>
    </row>
    <row r="1709" spans="1:5" x14ac:dyDescent="0.25">
      <c r="A1709" s="21"/>
      <c r="B1709" s="168"/>
      <c r="C1709" s="28"/>
      <c r="D1709" s="29"/>
      <c r="E1709" s="29"/>
    </row>
    <row r="1710" spans="1:5" x14ac:dyDescent="0.25">
      <c r="A1710" s="21"/>
      <c r="B1710" s="168"/>
      <c r="C1710" s="28"/>
      <c r="D1710" s="29"/>
      <c r="E1710" s="29"/>
    </row>
    <row r="1711" spans="1:5" x14ac:dyDescent="0.25">
      <c r="A1711" s="21"/>
      <c r="B1711" s="168"/>
      <c r="C1711" s="28"/>
      <c r="D1711" s="29"/>
      <c r="E1711" s="29"/>
    </row>
    <row r="1712" spans="1:5" x14ac:dyDescent="0.25">
      <c r="A1712" s="21"/>
      <c r="B1712" s="168"/>
      <c r="C1712" s="28"/>
      <c r="D1712" s="29"/>
      <c r="E1712" s="29"/>
    </row>
    <row r="1713" spans="1:5" x14ac:dyDescent="0.25">
      <c r="A1713" s="21"/>
      <c r="B1713" s="168"/>
      <c r="C1713" s="28"/>
      <c r="D1713" s="29"/>
      <c r="E1713" s="29"/>
    </row>
    <row r="1714" spans="1:5" x14ac:dyDescent="0.25">
      <c r="A1714" s="21"/>
      <c r="B1714" s="168"/>
      <c r="C1714" s="28"/>
      <c r="D1714" s="29"/>
      <c r="E1714" s="29"/>
    </row>
    <row r="1715" spans="1:5" x14ac:dyDescent="0.25">
      <c r="A1715" s="21"/>
      <c r="B1715" s="168"/>
      <c r="C1715" s="28"/>
      <c r="D1715" s="29"/>
      <c r="E1715" s="29"/>
    </row>
    <row r="1716" spans="1:5" x14ac:dyDescent="0.25">
      <c r="A1716" s="21"/>
      <c r="B1716" s="168"/>
      <c r="C1716" s="28"/>
      <c r="D1716" s="29"/>
      <c r="E1716" s="29"/>
    </row>
    <row r="1717" spans="1:5" x14ac:dyDescent="0.25">
      <c r="A1717" s="21"/>
      <c r="B1717" s="168"/>
      <c r="C1717" s="28"/>
      <c r="D1717" s="29"/>
      <c r="E1717" s="29"/>
    </row>
    <row r="1718" spans="1:5" x14ac:dyDescent="0.25">
      <c r="A1718" s="21"/>
      <c r="B1718" s="168"/>
      <c r="C1718" s="28"/>
      <c r="D1718" s="29"/>
      <c r="E1718" s="29"/>
    </row>
    <row r="1719" spans="1:5" x14ac:dyDescent="0.25">
      <c r="A1719" s="21"/>
      <c r="B1719" s="168"/>
      <c r="C1719" s="28"/>
      <c r="D1719" s="29"/>
      <c r="E1719" s="29"/>
    </row>
    <row r="1720" spans="1:5" x14ac:dyDescent="0.25">
      <c r="A1720" s="21"/>
      <c r="B1720" s="168"/>
      <c r="C1720" s="28"/>
      <c r="D1720" s="29"/>
      <c r="E1720" s="29"/>
    </row>
    <row r="1721" spans="1:5" x14ac:dyDescent="0.25">
      <c r="A1721" s="21"/>
      <c r="B1721" s="168"/>
      <c r="C1721" s="28"/>
      <c r="D1721" s="29"/>
      <c r="E1721" s="29"/>
    </row>
    <row r="1722" spans="1:5" x14ac:dyDescent="0.25">
      <c r="A1722" s="21"/>
      <c r="B1722" s="168"/>
      <c r="C1722" s="28"/>
      <c r="D1722" s="29"/>
      <c r="E1722" s="29"/>
    </row>
    <row r="1723" spans="1:5" x14ac:dyDescent="0.25">
      <c r="A1723" s="21"/>
      <c r="B1723" s="168"/>
      <c r="C1723" s="28"/>
      <c r="D1723" s="29"/>
      <c r="E1723" s="29"/>
    </row>
    <row r="1724" spans="1:5" x14ac:dyDescent="0.25">
      <c r="A1724" s="21"/>
      <c r="B1724" s="168"/>
      <c r="C1724" s="28"/>
      <c r="D1724" s="29"/>
      <c r="E1724" s="29"/>
    </row>
    <row r="1725" spans="1:5" x14ac:dyDescent="0.25">
      <c r="A1725" s="21"/>
      <c r="B1725" s="168"/>
      <c r="C1725" s="28"/>
      <c r="D1725" s="29"/>
      <c r="E1725" s="29"/>
    </row>
    <row r="1726" spans="1:5" x14ac:dyDescent="0.25">
      <c r="A1726" s="21"/>
      <c r="B1726" s="168"/>
      <c r="C1726" s="28"/>
      <c r="D1726" s="29"/>
      <c r="E1726" s="29"/>
    </row>
    <row r="1727" spans="1:5" x14ac:dyDescent="0.25">
      <c r="A1727" s="21"/>
      <c r="B1727" s="168"/>
      <c r="C1727" s="28"/>
      <c r="D1727" s="29"/>
      <c r="E1727" s="29"/>
    </row>
    <row r="1728" spans="1:5" x14ac:dyDescent="0.25">
      <c r="A1728" s="21"/>
      <c r="B1728" s="168"/>
      <c r="C1728" s="28"/>
      <c r="D1728" s="29"/>
      <c r="E1728" s="29"/>
    </row>
    <row r="1729" spans="1:5" x14ac:dyDescent="0.25">
      <c r="A1729" s="21"/>
      <c r="B1729" s="168"/>
      <c r="C1729" s="28"/>
      <c r="D1729" s="29"/>
      <c r="E1729" s="29"/>
    </row>
    <row r="1730" spans="1:5" x14ac:dyDescent="0.25">
      <c r="A1730" s="21"/>
      <c r="B1730" s="168"/>
      <c r="C1730" s="28"/>
      <c r="D1730" s="29"/>
      <c r="E1730" s="29"/>
    </row>
    <row r="1731" spans="1:5" x14ac:dyDescent="0.25">
      <c r="A1731" s="21"/>
      <c r="B1731" s="168"/>
      <c r="C1731" s="28"/>
      <c r="D1731" s="29"/>
      <c r="E1731" s="29"/>
    </row>
    <row r="1732" spans="1:5" x14ac:dyDescent="0.25">
      <c r="A1732" s="21"/>
      <c r="B1732" s="168"/>
      <c r="C1732" s="28"/>
      <c r="D1732" s="29"/>
      <c r="E1732" s="29"/>
    </row>
    <row r="1733" spans="1:5" x14ac:dyDescent="0.25">
      <c r="A1733" s="21"/>
      <c r="B1733" s="168"/>
      <c r="C1733" s="28"/>
      <c r="D1733" s="29"/>
      <c r="E1733" s="29"/>
    </row>
    <row r="1734" spans="1:5" x14ac:dyDescent="0.25">
      <c r="A1734" s="21"/>
      <c r="B1734" s="168"/>
      <c r="C1734" s="28"/>
      <c r="D1734" s="29"/>
      <c r="E1734" s="29"/>
    </row>
    <row r="1735" spans="1:5" x14ac:dyDescent="0.25">
      <c r="A1735" s="21"/>
      <c r="B1735" s="168"/>
      <c r="C1735" s="28"/>
      <c r="D1735" s="29"/>
      <c r="E1735" s="29"/>
    </row>
    <row r="1736" spans="1:5" x14ac:dyDescent="0.25">
      <c r="A1736" s="21"/>
      <c r="B1736" s="168"/>
      <c r="C1736" s="28"/>
      <c r="D1736" s="29"/>
      <c r="E1736" s="29"/>
    </row>
    <row r="1737" spans="1:5" x14ac:dyDescent="0.25">
      <c r="A1737" s="21"/>
      <c r="B1737" s="168"/>
      <c r="C1737" s="28"/>
      <c r="D1737" s="29"/>
      <c r="E1737" s="29"/>
    </row>
    <row r="1738" spans="1:5" x14ac:dyDescent="0.25">
      <c r="A1738" s="21"/>
      <c r="B1738" s="168"/>
      <c r="C1738" s="28"/>
      <c r="D1738" s="29"/>
      <c r="E1738" s="29"/>
    </row>
    <row r="1739" spans="1:5" x14ac:dyDescent="0.25">
      <c r="A1739" s="21"/>
      <c r="B1739" s="168"/>
      <c r="C1739" s="28"/>
      <c r="D1739" s="29"/>
      <c r="E1739" s="29"/>
    </row>
    <row r="1740" spans="1:5" x14ac:dyDescent="0.25">
      <c r="A1740" s="21"/>
      <c r="B1740" s="168"/>
      <c r="C1740" s="28"/>
      <c r="D1740" s="29"/>
      <c r="E1740" s="29"/>
    </row>
    <row r="1741" spans="1:5" x14ac:dyDescent="0.25">
      <c r="A1741" s="21"/>
      <c r="B1741" s="168"/>
      <c r="C1741" s="28"/>
      <c r="D1741" s="29"/>
      <c r="E1741" s="29"/>
    </row>
    <row r="1742" spans="1:5" x14ac:dyDescent="0.25">
      <c r="A1742" s="21"/>
      <c r="B1742" s="168"/>
      <c r="C1742" s="28"/>
      <c r="D1742" s="29"/>
      <c r="E1742" s="29"/>
    </row>
    <row r="1743" spans="1:5" x14ac:dyDescent="0.25">
      <c r="A1743" s="21"/>
      <c r="B1743" s="168"/>
      <c r="C1743" s="28"/>
      <c r="D1743" s="29"/>
      <c r="E1743" s="29"/>
    </row>
    <row r="1744" spans="1:5" x14ac:dyDescent="0.25">
      <c r="A1744" s="21"/>
      <c r="B1744" s="168"/>
      <c r="C1744" s="28"/>
      <c r="D1744" s="29"/>
      <c r="E1744" s="29"/>
    </row>
    <row r="1745" spans="1:5" x14ac:dyDescent="0.25">
      <c r="A1745" s="21"/>
      <c r="B1745" s="168"/>
      <c r="C1745" s="28"/>
      <c r="D1745" s="29"/>
      <c r="E1745" s="29"/>
    </row>
    <row r="1746" spans="1:5" x14ac:dyDescent="0.25">
      <c r="A1746" s="21"/>
      <c r="B1746" s="168"/>
      <c r="C1746" s="28"/>
      <c r="D1746" s="29"/>
      <c r="E1746" s="29"/>
    </row>
    <row r="1747" spans="1:5" x14ac:dyDescent="0.25">
      <c r="A1747" s="21"/>
      <c r="B1747" s="168"/>
      <c r="C1747" s="28"/>
      <c r="D1747" s="29"/>
      <c r="E1747" s="29"/>
    </row>
    <row r="1748" spans="1:5" x14ac:dyDescent="0.25">
      <c r="A1748" s="21"/>
      <c r="B1748" s="168"/>
      <c r="C1748" s="28"/>
      <c r="D1748" s="29"/>
      <c r="E1748" s="29"/>
    </row>
    <row r="1749" spans="1:5" x14ac:dyDescent="0.25">
      <c r="A1749" s="21"/>
      <c r="B1749" s="168"/>
      <c r="C1749" s="28"/>
      <c r="D1749" s="29"/>
      <c r="E1749" s="29"/>
    </row>
    <row r="1750" spans="1:5" x14ac:dyDescent="0.25">
      <c r="A1750" s="21"/>
      <c r="B1750" s="168"/>
      <c r="C1750" s="28"/>
      <c r="D1750" s="29"/>
      <c r="E1750" s="29"/>
    </row>
    <row r="1751" spans="1:5" x14ac:dyDescent="0.25">
      <c r="A1751" s="21"/>
      <c r="B1751" s="168"/>
      <c r="C1751" s="28"/>
      <c r="D1751" s="29"/>
      <c r="E1751" s="29"/>
    </row>
    <row r="1752" spans="1:5" x14ac:dyDescent="0.25">
      <c r="A1752" s="21"/>
      <c r="B1752" s="168"/>
      <c r="C1752" s="28"/>
      <c r="D1752" s="29"/>
      <c r="E1752" s="29"/>
    </row>
    <row r="1753" spans="1:5" x14ac:dyDescent="0.25">
      <c r="A1753" s="21"/>
      <c r="B1753" s="168"/>
      <c r="C1753" s="28"/>
      <c r="D1753" s="29"/>
      <c r="E1753" s="29"/>
    </row>
    <row r="1754" spans="1:5" x14ac:dyDescent="0.25">
      <c r="A1754" s="21"/>
      <c r="B1754" s="168"/>
      <c r="C1754" s="28"/>
      <c r="D1754" s="29"/>
      <c r="E1754" s="29"/>
    </row>
    <row r="1755" spans="1:5" x14ac:dyDescent="0.25">
      <c r="A1755" s="21"/>
      <c r="B1755" s="168"/>
      <c r="C1755" s="28"/>
      <c r="D1755" s="29"/>
      <c r="E1755" s="29"/>
    </row>
    <row r="1756" spans="1:5" x14ac:dyDescent="0.25">
      <c r="A1756" s="21"/>
      <c r="B1756" s="168"/>
      <c r="C1756" s="28"/>
      <c r="D1756" s="29"/>
      <c r="E1756" s="29"/>
    </row>
    <row r="1757" spans="1:5" x14ac:dyDescent="0.25">
      <c r="A1757" s="21"/>
      <c r="B1757" s="168"/>
      <c r="C1757" s="28"/>
      <c r="D1757" s="29"/>
      <c r="E1757" s="29"/>
    </row>
    <row r="1758" spans="1:5" x14ac:dyDescent="0.25">
      <c r="A1758" s="21"/>
      <c r="B1758" s="168"/>
      <c r="C1758" s="28"/>
      <c r="D1758" s="29"/>
      <c r="E1758" s="29"/>
    </row>
    <row r="1759" spans="1:5" x14ac:dyDescent="0.25">
      <c r="A1759" s="21"/>
      <c r="B1759" s="168"/>
      <c r="C1759" s="28"/>
      <c r="D1759" s="29"/>
      <c r="E1759" s="29"/>
    </row>
    <row r="1760" spans="1:5" x14ac:dyDescent="0.25">
      <c r="A1760" s="21"/>
      <c r="B1760" s="168"/>
      <c r="C1760" s="28"/>
      <c r="D1760" s="29"/>
      <c r="E1760" s="29"/>
    </row>
    <row r="1761" spans="1:5" x14ac:dyDescent="0.25">
      <c r="A1761" s="21"/>
      <c r="B1761" s="168"/>
      <c r="C1761" s="28"/>
      <c r="D1761" s="29"/>
      <c r="E1761" s="29"/>
    </row>
    <row r="1762" spans="1:5" x14ac:dyDescent="0.25">
      <c r="A1762" s="21"/>
      <c r="B1762" s="168"/>
      <c r="C1762" s="28"/>
      <c r="D1762" s="29"/>
      <c r="E1762" s="29"/>
    </row>
    <row r="1763" spans="1:5" x14ac:dyDescent="0.25">
      <c r="A1763" s="21"/>
      <c r="B1763" s="168"/>
      <c r="C1763" s="28"/>
      <c r="D1763" s="29"/>
      <c r="E1763" s="29"/>
    </row>
    <row r="1764" spans="1:5" x14ac:dyDescent="0.25">
      <c r="A1764" s="21"/>
      <c r="B1764" s="168"/>
      <c r="C1764" s="28"/>
      <c r="D1764" s="29"/>
      <c r="E1764" s="29"/>
    </row>
    <row r="1765" spans="1:5" x14ac:dyDescent="0.25">
      <c r="A1765" s="21"/>
      <c r="B1765" s="168"/>
      <c r="C1765" s="28"/>
      <c r="D1765" s="29"/>
      <c r="E1765" s="29"/>
    </row>
    <row r="1766" spans="1:5" x14ac:dyDescent="0.25">
      <c r="A1766" s="21"/>
      <c r="B1766" s="168"/>
      <c r="C1766" s="28"/>
      <c r="D1766" s="29"/>
      <c r="E1766" s="29"/>
    </row>
    <row r="1767" spans="1:5" x14ac:dyDescent="0.25">
      <c r="A1767" s="21"/>
      <c r="B1767" s="168"/>
      <c r="C1767" s="28"/>
      <c r="D1767" s="29"/>
      <c r="E1767" s="29"/>
    </row>
    <row r="1768" spans="1:5" x14ac:dyDescent="0.25">
      <c r="A1768" s="21"/>
      <c r="B1768" s="168"/>
      <c r="C1768" s="28"/>
      <c r="D1768" s="29"/>
      <c r="E1768" s="29"/>
    </row>
    <row r="1769" spans="1:5" x14ac:dyDescent="0.25">
      <c r="A1769" s="21"/>
      <c r="B1769" s="168"/>
      <c r="C1769" s="28"/>
      <c r="D1769" s="29"/>
      <c r="E1769" s="29"/>
    </row>
    <row r="1770" spans="1:5" x14ac:dyDescent="0.25">
      <c r="A1770" s="21"/>
      <c r="B1770" s="168"/>
      <c r="C1770" s="28"/>
      <c r="D1770" s="29"/>
      <c r="E1770" s="29"/>
    </row>
    <row r="1771" spans="1:5" x14ac:dyDescent="0.25">
      <c r="A1771" s="21"/>
      <c r="B1771" s="168"/>
      <c r="C1771" s="28"/>
      <c r="D1771" s="29"/>
      <c r="E1771" s="29"/>
    </row>
    <row r="1772" spans="1:5" x14ac:dyDescent="0.25">
      <c r="A1772" s="21"/>
      <c r="B1772" s="168"/>
      <c r="C1772" s="28"/>
      <c r="D1772" s="29"/>
      <c r="E1772" s="29"/>
    </row>
    <row r="1773" spans="1:5" x14ac:dyDescent="0.25">
      <c r="A1773" s="21"/>
      <c r="B1773" s="168"/>
      <c r="C1773" s="28"/>
      <c r="D1773" s="29"/>
      <c r="E1773" s="29"/>
    </row>
    <row r="1774" spans="1:5" x14ac:dyDescent="0.25">
      <c r="A1774" s="21"/>
      <c r="B1774" s="168"/>
      <c r="C1774" s="28"/>
      <c r="D1774" s="29"/>
      <c r="E1774" s="29"/>
    </row>
    <row r="1775" spans="1:5" x14ac:dyDescent="0.25">
      <c r="A1775" s="21"/>
      <c r="B1775" s="168"/>
      <c r="C1775" s="28"/>
      <c r="D1775" s="29"/>
      <c r="E1775" s="29"/>
    </row>
    <row r="1776" spans="1:5" x14ac:dyDescent="0.25">
      <c r="A1776" s="21"/>
      <c r="B1776" s="168"/>
      <c r="C1776" s="28"/>
      <c r="D1776" s="29"/>
      <c r="E1776" s="29"/>
    </row>
    <row r="1777" spans="1:5" x14ac:dyDescent="0.25">
      <c r="A1777" s="21"/>
      <c r="B1777" s="168"/>
      <c r="C1777" s="28"/>
      <c r="D1777" s="29"/>
      <c r="E1777" s="29"/>
    </row>
    <row r="1778" spans="1:5" x14ac:dyDescent="0.25">
      <c r="A1778" s="21"/>
      <c r="B1778" s="168"/>
      <c r="C1778" s="28"/>
      <c r="D1778" s="29"/>
      <c r="E1778" s="29"/>
    </row>
    <row r="1779" spans="1:5" x14ac:dyDescent="0.25">
      <c r="A1779" s="21"/>
      <c r="B1779" s="168"/>
      <c r="C1779" s="28"/>
      <c r="D1779" s="29"/>
      <c r="E1779" s="29"/>
    </row>
    <row r="1780" spans="1:5" x14ac:dyDescent="0.25">
      <c r="A1780" s="21"/>
      <c r="B1780" s="168"/>
      <c r="C1780" s="28"/>
      <c r="D1780" s="29"/>
      <c r="E1780" s="29"/>
    </row>
    <row r="1781" spans="1:5" x14ac:dyDescent="0.25">
      <c r="A1781" s="21"/>
      <c r="B1781" s="168"/>
      <c r="C1781" s="28"/>
      <c r="D1781" s="29"/>
      <c r="E1781" s="29"/>
    </row>
    <row r="1782" spans="1:5" x14ac:dyDescent="0.25">
      <c r="A1782" s="21"/>
      <c r="B1782" s="168"/>
      <c r="C1782" s="28"/>
      <c r="D1782" s="29"/>
      <c r="E1782" s="29"/>
    </row>
    <row r="1783" spans="1:5" x14ac:dyDescent="0.25">
      <c r="A1783" s="21"/>
      <c r="B1783" s="168"/>
      <c r="C1783" s="28"/>
      <c r="D1783" s="29"/>
      <c r="E1783" s="29"/>
    </row>
    <row r="1784" spans="1:5" x14ac:dyDescent="0.25">
      <c r="A1784" s="21"/>
      <c r="B1784" s="168"/>
      <c r="C1784" s="28"/>
      <c r="D1784" s="29"/>
      <c r="E1784" s="29"/>
    </row>
    <row r="1785" spans="1:5" x14ac:dyDescent="0.25">
      <c r="A1785" s="21"/>
      <c r="B1785" s="168"/>
      <c r="C1785" s="28"/>
      <c r="D1785" s="29"/>
      <c r="E1785" s="29"/>
    </row>
    <row r="1786" spans="1:5" x14ac:dyDescent="0.25">
      <c r="A1786" s="21"/>
      <c r="B1786" s="168"/>
      <c r="C1786" s="28"/>
      <c r="D1786" s="29"/>
      <c r="E1786" s="29"/>
    </row>
    <row r="1787" spans="1:5" x14ac:dyDescent="0.25">
      <c r="A1787" s="21"/>
      <c r="B1787" s="168"/>
      <c r="C1787" s="28"/>
      <c r="D1787" s="29"/>
      <c r="E1787" s="29"/>
    </row>
    <row r="1788" spans="1:5" x14ac:dyDescent="0.25">
      <c r="A1788" s="21"/>
      <c r="B1788" s="168"/>
      <c r="C1788" s="28"/>
      <c r="D1788" s="29"/>
      <c r="E1788" s="29"/>
    </row>
    <row r="1789" spans="1:5" x14ac:dyDescent="0.25">
      <c r="A1789" s="21"/>
      <c r="B1789" s="168"/>
      <c r="C1789" s="28"/>
      <c r="D1789" s="29"/>
      <c r="E1789" s="29"/>
    </row>
    <row r="1790" spans="1:5" x14ac:dyDescent="0.25">
      <c r="A1790" s="21"/>
      <c r="B1790" s="168"/>
      <c r="C1790" s="28"/>
      <c r="D1790" s="29"/>
      <c r="E1790" s="29"/>
    </row>
    <row r="1791" spans="1:5" x14ac:dyDescent="0.25">
      <c r="A1791" s="21"/>
      <c r="B1791" s="168"/>
      <c r="C1791" s="28"/>
      <c r="D1791" s="29"/>
      <c r="E1791" s="29"/>
    </row>
    <row r="1792" spans="1:5" x14ac:dyDescent="0.25">
      <c r="A1792" s="21"/>
      <c r="B1792" s="168"/>
      <c r="C1792" s="28"/>
      <c r="D1792" s="29"/>
      <c r="E1792" s="29"/>
    </row>
    <row r="1793" spans="1:5" x14ac:dyDescent="0.25">
      <c r="A1793" s="21"/>
      <c r="B1793" s="168"/>
      <c r="C1793" s="28"/>
      <c r="D1793" s="29"/>
      <c r="E1793" s="29"/>
    </row>
    <row r="1794" spans="1:5" x14ac:dyDescent="0.25">
      <c r="A1794" s="21"/>
      <c r="B1794" s="168"/>
      <c r="C1794" s="28"/>
      <c r="D1794" s="29"/>
      <c r="E1794" s="29"/>
    </row>
    <row r="1795" spans="1:5" x14ac:dyDescent="0.25">
      <c r="A1795" s="21"/>
      <c r="B1795" s="168"/>
      <c r="C1795" s="28"/>
      <c r="D1795" s="29"/>
      <c r="E1795" s="29"/>
    </row>
    <row r="1796" spans="1:5" x14ac:dyDescent="0.25">
      <c r="A1796" s="21"/>
      <c r="B1796" s="168"/>
      <c r="C1796" s="28"/>
      <c r="D1796" s="29"/>
      <c r="E1796" s="29"/>
    </row>
    <row r="1797" spans="1:5" x14ac:dyDescent="0.25">
      <c r="A1797" s="21"/>
      <c r="B1797" s="168"/>
      <c r="C1797" s="28"/>
      <c r="D1797" s="29"/>
      <c r="E1797" s="29"/>
    </row>
    <row r="1798" spans="1:5" x14ac:dyDescent="0.25">
      <c r="A1798" s="21"/>
      <c r="B1798" s="168"/>
      <c r="C1798" s="28"/>
      <c r="D1798" s="29"/>
      <c r="E1798" s="29"/>
    </row>
    <row r="1799" spans="1:5" x14ac:dyDescent="0.25">
      <c r="A1799" s="21"/>
      <c r="B1799" s="168"/>
      <c r="C1799" s="28"/>
      <c r="D1799" s="29"/>
      <c r="E1799" s="29"/>
    </row>
    <row r="1800" spans="1:5" x14ac:dyDescent="0.25">
      <c r="A1800" s="21"/>
      <c r="B1800" s="168"/>
      <c r="C1800" s="28"/>
      <c r="D1800" s="29"/>
      <c r="E1800" s="29"/>
    </row>
    <row r="1801" spans="1:5" x14ac:dyDescent="0.25">
      <c r="A1801" s="21"/>
      <c r="B1801" s="168"/>
      <c r="C1801" s="28"/>
      <c r="D1801" s="29"/>
      <c r="E1801" s="29"/>
    </row>
    <row r="1802" spans="1:5" x14ac:dyDescent="0.25">
      <c r="A1802" s="21"/>
      <c r="B1802" s="168"/>
      <c r="C1802" s="28"/>
      <c r="D1802" s="29"/>
      <c r="E1802" s="29"/>
    </row>
    <row r="1803" spans="1:5" x14ac:dyDescent="0.25">
      <c r="A1803" s="21"/>
      <c r="B1803" s="168"/>
      <c r="C1803" s="28"/>
      <c r="D1803" s="29"/>
      <c r="E1803" s="29"/>
    </row>
    <row r="1804" spans="1:5" x14ac:dyDescent="0.25">
      <c r="A1804" s="21"/>
      <c r="B1804" s="168"/>
      <c r="C1804" s="28"/>
      <c r="D1804" s="29"/>
      <c r="E1804" s="29"/>
    </row>
    <row r="1805" spans="1:5" x14ac:dyDescent="0.25">
      <c r="A1805" s="21"/>
      <c r="B1805" s="168"/>
      <c r="C1805" s="28"/>
      <c r="D1805" s="29"/>
      <c r="E1805" s="29"/>
    </row>
    <row r="1806" spans="1:5" x14ac:dyDescent="0.25">
      <c r="A1806" s="21"/>
      <c r="B1806" s="168"/>
      <c r="C1806" s="28"/>
      <c r="D1806" s="29"/>
      <c r="E1806" s="29"/>
    </row>
    <row r="1807" spans="1:5" x14ac:dyDescent="0.25">
      <c r="A1807" s="21"/>
      <c r="B1807" s="168"/>
      <c r="C1807" s="28"/>
      <c r="D1807" s="29"/>
      <c r="E1807" s="29"/>
    </row>
    <row r="1808" spans="1:5" x14ac:dyDescent="0.25">
      <c r="A1808" s="21"/>
      <c r="B1808" s="168"/>
      <c r="C1808" s="28"/>
      <c r="D1808" s="29"/>
      <c r="E1808" s="29"/>
    </row>
    <row r="1809" spans="1:5" x14ac:dyDescent="0.25">
      <c r="A1809" s="21"/>
      <c r="B1809" s="168"/>
      <c r="C1809" s="28"/>
      <c r="D1809" s="29"/>
      <c r="E1809" s="29"/>
    </row>
    <row r="1810" spans="1:5" x14ac:dyDescent="0.25">
      <c r="A1810" s="21"/>
      <c r="B1810" s="168"/>
      <c r="C1810" s="28"/>
      <c r="D1810" s="29"/>
      <c r="E1810" s="29"/>
    </row>
    <row r="1811" spans="1:5" x14ac:dyDescent="0.25">
      <c r="A1811" s="21"/>
      <c r="B1811" s="168"/>
      <c r="C1811" s="28"/>
      <c r="D1811" s="29"/>
      <c r="E1811" s="29"/>
    </row>
    <row r="1812" spans="1:5" x14ac:dyDescent="0.25">
      <c r="A1812" s="21"/>
      <c r="B1812" s="168"/>
      <c r="C1812" s="28"/>
      <c r="D1812" s="29"/>
      <c r="E1812" s="29"/>
    </row>
    <row r="1813" spans="1:5" x14ac:dyDescent="0.25">
      <c r="A1813" s="21"/>
      <c r="B1813" s="168"/>
      <c r="C1813" s="28"/>
      <c r="D1813" s="29"/>
      <c r="E1813" s="29"/>
    </row>
    <row r="1814" spans="1:5" x14ac:dyDescent="0.25">
      <c r="A1814" s="21"/>
      <c r="B1814" s="168"/>
      <c r="C1814" s="28"/>
      <c r="D1814" s="29"/>
      <c r="E1814" s="29"/>
    </row>
    <row r="1815" spans="1:5" x14ac:dyDescent="0.25">
      <c r="A1815" s="21"/>
      <c r="B1815" s="168"/>
      <c r="C1815" s="28"/>
      <c r="D1815" s="29"/>
      <c r="E1815" s="29"/>
    </row>
    <row r="1816" spans="1:5" x14ac:dyDescent="0.25">
      <c r="A1816" s="21"/>
      <c r="B1816" s="168"/>
      <c r="C1816" s="28"/>
      <c r="D1816" s="29"/>
      <c r="E1816" s="29"/>
    </row>
    <row r="1817" spans="1:5" x14ac:dyDescent="0.25">
      <c r="A1817" s="21"/>
      <c r="B1817" s="168"/>
      <c r="C1817" s="28"/>
      <c r="D1817" s="29"/>
      <c r="E1817" s="29"/>
    </row>
    <row r="1818" spans="1:5" x14ac:dyDescent="0.25">
      <c r="A1818" s="21"/>
      <c r="B1818" s="168"/>
      <c r="C1818" s="28"/>
      <c r="D1818" s="29"/>
      <c r="E1818" s="29"/>
    </row>
    <row r="1819" spans="1:5" x14ac:dyDescent="0.25">
      <c r="A1819" s="21"/>
      <c r="B1819" s="168"/>
      <c r="C1819" s="28"/>
      <c r="D1819" s="29"/>
      <c r="E1819" s="29"/>
    </row>
    <row r="1820" spans="1:5" x14ac:dyDescent="0.25">
      <c r="A1820" s="21"/>
      <c r="B1820" s="168"/>
      <c r="C1820" s="28"/>
      <c r="D1820" s="29"/>
      <c r="E1820" s="29"/>
    </row>
    <row r="1821" spans="1:5" x14ac:dyDescent="0.25">
      <c r="A1821" s="21"/>
      <c r="B1821" s="168"/>
      <c r="C1821" s="28"/>
      <c r="D1821" s="29"/>
      <c r="E1821" s="29"/>
    </row>
    <row r="1822" spans="1:5" x14ac:dyDescent="0.25">
      <c r="A1822" s="21"/>
      <c r="B1822" s="168"/>
      <c r="C1822" s="28"/>
      <c r="D1822" s="29"/>
      <c r="E1822" s="29"/>
    </row>
    <row r="1823" spans="1:5" x14ac:dyDescent="0.25">
      <c r="A1823" s="21"/>
      <c r="B1823" s="168"/>
      <c r="C1823" s="28"/>
      <c r="D1823" s="29"/>
      <c r="E1823" s="29"/>
    </row>
    <row r="1824" spans="1:5" x14ac:dyDescent="0.25">
      <c r="A1824" s="21"/>
      <c r="B1824" s="168"/>
      <c r="C1824" s="28"/>
      <c r="D1824" s="29"/>
      <c r="E1824" s="29"/>
    </row>
    <row r="1825" spans="1:5" x14ac:dyDescent="0.25">
      <c r="A1825" s="21"/>
      <c r="B1825" s="168"/>
      <c r="C1825" s="28"/>
      <c r="D1825" s="29"/>
      <c r="E1825" s="29"/>
    </row>
    <row r="1826" spans="1:5" x14ac:dyDescent="0.25">
      <c r="A1826" s="21"/>
      <c r="B1826" s="168"/>
      <c r="C1826" s="28"/>
      <c r="D1826" s="29"/>
      <c r="E1826" s="29"/>
    </row>
    <row r="1827" spans="1:5" x14ac:dyDescent="0.25">
      <c r="A1827" s="21"/>
      <c r="B1827" s="168"/>
      <c r="C1827" s="28"/>
      <c r="D1827" s="29"/>
      <c r="E1827" s="29"/>
    </row>
    <row r="1828" spans="1:5" x14ac:dyDescent="0.25">
      <c r="A1828" s="21"/>
      <c r="B1828" s="168"/>
      <c r="C1828" s="28"/>
      <c r="D1828" s="29"/>
      <c r="E1828" s="29"/>
    </row>
    <row r="1829" spans="1:5" x14ac:dyDescent="0.25">
      <c r="A1829" s="21"/>
      <c r="B1829" s="168"/>
      <c r="C1829" s="28"/>
      <c r="D1829" s="29"/>
      <c r="E1829" s="29"/>
    </row>
    <row r="1830" spans="1:5" x14ac:dyDescent="0.25">
      <c r="A1830" s="21"/>
      <c r="B1830" s="168"/>
      <c r="C1830" s="28"/>
      <c r="D1830" s="29"/>
      <c r="E1830" s="29"/>
    </row>
    <row r="1831" spans="1:5" x14ac:dyDescent="0.25">
      <c r="A1831" s="21"/>
      <c r="B1831" s="168"/>
      <c r="C1831" s="28"/>
      <c r="D1831" s="29"/>
      <c r="E1831" s="29"/>
    </row>
    <row r="1832" spans="1:5" x14ac:dyDescent="0.25">
      <c r="A1832" s="21"/>
      <c r="B1832" s="168"/>
      <c r="C1832" s="28"/>
      <c r="D1832" s="29"/>
      <c r="E1832" s="29"/>
    </row>
    <row r="1833" spans="1:5" x14ac:dyDescent="0.25">
      <c r="A1833" s="21"/>
      <c r="B1833" s="168"/>
      <c r="C1833" s="28"/>
      <c r="D1833" s="29"/>
      <c r="E1833" s="29"/>
    </row>
    <row r="1834" spans="1:5" x14ac:dyDescent="0.25">
      <c r="A1834" s="21"/>
      <c r="B1834" s="168"/>
      <c r="C1834" s="28"/>
      <c r="D1834" s="29"/>
      <c r="E1834" s="29"/>
    </row>
    <row r="1835" spans="1:5" x14ac:dyDescent="0.25">
      <c r="A1835" s="21"/>
      <c r="B1835" s="168"/>
      <c r="C1835" s="28"/>
      <c r="D1835" s="29"/>
      <c r="E1835" s="29"/>
    </row>
    <row r="1836" spans="1:5" x14ac:dyDescent="0.25">
      <c r="A1836" s="21"/>
      <c r="B1836" s="168"/>
      <c r="C1836" s="28"/>
      <c r="D1836" s="29"/>
      <c r="E1836" s="29"/>
    </row>
    <row r="1837" spans="1:5" x14ac:dyDescent="0.25">
      <c r="A1837" s="21"/>
      <c r="B1837" s="168"/>
      <c r="C1837" s="28"/>
      <c r="D1837" s="29"/>
      <c r="E1837" s="29"/>
    </row>
    <row r="1838" spans="1:5" x14ac:dyDescent="0.25">
      <c r="A1838" s="21"/>
      <c r="B1838" s="168"/>
      <c r="C1838" s="28"/>
      <c r="D1838" s="29"/>
      <c r="E1838" s="29"/>
    </row>
    <row r="1839" spans="1:5" x14ac:dyDescent="0.25">
      <c r="A1839" s="21"/>
      <c r="B1839" s="168"/>
      <c r="C1839" s="28"/>
      <c r="D1839" s="29"/>
      <c r="E1839" s="29"/>
    </row>
    <row r="1840" spans="1:5" x14ac:dyDescent="0.25">
      <c r="A1840" s="21"/>
      <c r="B1840" s="168"/>
      <c r="C1840" s="28"/>
      <c r="D1840" s="29"/>
      <c r="E1840" s="29"/>
    </row>
    <row r="1841" spans="1:5" x14ac:dyDescent="0.25">
      <c r="A1841" s="21"/>
      <c r="B1841" s="168"/>
      <c r="C1841" s="28"/>
      <c r="D1841" s="29"/>
      <c r="E1841" s="29"/>
    </row>
    <row r="1842" spans="1:5" x14ac:dyDescent="0.25">
      <c r="A1842" s="21"/>
      <c r="B1842" s="168"/>
      <c r="C1842" s="28"/>
      <c r="D1842" s="29"/>
      <c r="E1842" s="29"/>
    </row>
    <row r="1843" spans="1:5" x14ac:dyDescent="0.25">
      <c r="A1843" s="21"/>
      <c r="B1843" s="168"/>
      <c r="C1843" s="28"/>
      <c r="D1843" s="29"/>
      <c r="E1843" s="29"/>
    </row>
    <row r="1844" spans="1:5" x14ac:dyDescent="0.25">
      <c r="A1844" s="21"/>
      <c r="B1844" s="168"/>
      <c r="C1844" s="28"/>
      <c r="D1844" s="29"/>
      <c r="E1844" s="29"/>
    </row>
    <row r="1845" spans="1:5" x14ac:dyDescent="0.25">
      <c r="A1845" s="21"/>
      <c r="B1845" s="168"/>
      <c r="C1845" s="28"/>
      <c r="D1845" s="29"/>
      <c r="E1845" s="29"/>
    </row>
    <row r="1846" spans="1:5" x14ac:dyDescent="0.25">
      <c r="A1846" s="21"/>
      <c r="B1846" s="168"/>
      <c r="C1846" s="28"/>
      <c r="D1846" s="29"/>
      <c r="E1846" s="29"/>
    </row>
    <row r="1847" spans="1:5" x14ac:dyDescent="0.25">
      <c r="A1847" s="21"/>
      <c r="B1847" s="168"/>
      <c r="C1847" s="28"/>
      <c r="D1847" s="29"/>
      <c r="E1847" s="29"/>
    </row>
    <row r="1848" spans="1:5" x14ac:dyDescent="0.25">
      <c r="A1848" s="21"/>
      <c r="B1848" s="168"/>
      <c r="C1848" s="28"/>
      <c r="D1848" s="29"/>
      <c r="E1848" s="29"/>
    </row>
    <row r="1849" spans="1:5" x14ac:dyDescent="0.25">
      <c r="A1849" s="21"/>
      <c r="B1849" s="168"/>
      <c r="C1849" s="28"/>
      <c r="D1849" s="29"/>
      <c r="E1849" s="29"/>
    </row>
    <row r="1850" spans="1:5" x14ac:dyDescent="0.25">
      <c r="A1850" s="21"/>
      <c r="B1850" s="168"/>
      <c r="C1850" s="28"/>
      <c r="D1850" s="29"/>
      <c r="E1850" s="29"/>
    </row>
    <row r="1851" spans="1:5" x14ac:dyDescent="0.25">
      <c r="A1851" s="21"/>
      <c r="B1851" s="168"/>
      <c r="C1851" s="28"/>
      <c r="D1851" s="29"/>
      <c r="E1851" s="29"/>
    </row>
    <row r="1852" spans="1:5" x14ac:dyDescent="0.25">
      <c r="A1852" s="21"/>
      <c r="B1852" s="168"/>
      <c r="C1852" s="28"/>
      <c r="D1852" s="29"/>
      <c r="E1852" s="29"/>
    </row>
    <row r="1853" spans="1:5" x14ac:dyDescent="0.25">
      <c r="A1853" s="21"/>
      <c r="B1853" s="168"/>
      <c r="C1853" s="28"/>
      <c r="D1853" s="29"/>
      <c r="E1853" s="29"/>
    </row>
    <row r="1854" spans="1:5" x14ac:dyDescent="0.25">
      <c r="A1854" s="21"/>
      <c r="B1854" s="168"/>
      <c r="C1854" s="28"/>
      <c r="D1854" s="29"/>
      <c r="E1854" s="29"/>
    </row>
    <row r="1855" spans="1:5" x14ac:dyDescent="0.25">
      <c r="A1855" s="21"/>
      <c r="B1855" s="168"/>
      <c r="C1855" s="28"/>
      <c r="D1855" s="29"/>
      <c r="E1855" s="29"/>
    </row>
    <row r="1856" spans="1:5" x14ac:dyDescent="0.25">
      <c r="A1856" s="21"/>
      <c r="B1856" s="168"/>
      <c r="C1856" s="28"/>
      <c r="D1856" s="29"/>
      <c r="E1856" s="29"/>
    </row>
    <row r="1857" spans="1:5" x14ac:dyDescent="0.25">
      <c r="A1857" s="21"/>
      <c r="B1857" s="168"/>
      <c r="C1857" s="28"/>
      <c r="D1857" s="29"/>
      <c r="E1857" s="29"/>
    </row>
    <row r="1858" spans="1:5" x14ac:dyDescent="0.25">
      <c r="A1858" s="21"/>
      <c r="B1858" s="168"/>
      <c r="C1858" s="28"/>
      <c r="D1858" s="29"/>
      <c r="E1858" s="29"/>
    </row>
    <row r="1859" spans="1:5" x14ac:dyDescent="0.25">
      <c r="A1859" s="21"/>
      <c r="B1859" s="168"/>
      <c r="C1859" s="28"/>
      <c r="D1859" s="29"/>
      <c r="E1859" s="29"/>
    </row>
    <row r="1860" spans="1:5" x14ac:dyDescent="0.25">
      <c r="A1860" s="21"/>
      <c r="B1860" s="168"/>
      <c r="C1860" s="28"/>
      <c r="D1860" s="29"/>
      <c r="E1860" s="29"/>
    </row>
    <row r="1861" spans="1:5" x14ac:dyDescent="0.25">
      <c r="A1861" s="21"/>
      <c r="B1861" s="168"/>
      <c r="C1861" s="28"/>
      <c r="D1861" s="29"/>
      <c r="E1861" s="29"/>
    </row>
    <row r="1862" spans="1:5" x14ac:dyDescent="0.25">
      <c r="A1862" s="21"/>
      <c r="B1862" s="168"/>
      <c r="C1862" s="28"/>
      <c r="D1862" s="29"/>
      <c r="E1862" s="29"/>
    </row>
    <row r="1863" spans="1:5" x14ac:dyDescent="0.25">
      <c r="A1863" s="21"/>
      <c r="B1863" s="168"/>
      <c r="C1863" s="28"/>
      <c r="D1863" s="29"/>
      <c r="E1863" s="29"/>
    </row>
    <row r="1864" spans="1:5" x14ac:dyDescent="0.25">
      <c r="A1864" s="21"/>
      <c r="B1864" s="168"/>
      <c r="C1864" s="28"/>
      <c r="D1864" s="29"/>
      <c r="E1864" s="29"/>
    </row>
    <row r="1865" spans="1:5" x14ac:dyDescent="0.25">
      <c r="A1865" s="21"/>
      <c r="B1865" s="168"/>
      <c r="C1865" s="28"/>
      <c r="D1865" s="29"/>
      <c r="E1865" s="29"/>
    </row>
    <row r="1866" spans="1:5" x14ac:dyDescent="0.25">
      <c r="A1866" s="21"/>
      <c r="B1866" s="168"/>
      <c r="C1866" s="28"/>
      <c r="D1866" s="29"/>
      <c r="E1866" s="29"/>
    </row>
    <row r="1867" spans="1:5" x14ac:dyDescent="0.25">
      <c r="A1867" s="21"/>
      <c r="B1867" s="168"/>
      <c r="C1867" s="28"/>
      <c r="D1867" s="29"/>
      <c r="E1867" s="29"/>
    </row>
    <row r="1868" spans="1:5" x14ac:dyDescent="0.25">
      <c r="A1868" s="21"/>
      <c r="B1868" s="168"/>
      <c r="C1868" s="28"/>
      <c r="D1868" s="29"/>
      <c r="E1868" s="29"/>
    </row>
    <row r="1869" spans="1:5" x14ac:dyDescent="0.25">
      <c r="A1869" s="21"/>
      <c r="B1869" s="168"/>
      <c r="C1869" s="28"/>
      <c r="D1869" s="29"/>
      <c r="E1869" s="29"/>
    </row>
    <row r="1870" spans="1:5" x14ac:dyDescent="0.25">
      <c r="A1870" s="21"/>
      <c r="B1870" s="168"/>
      <c r="C1870" s="28"/>
      <c r="D1870" s="29"/>
      <c r="E1870" s="29"/>
    </row>
    <row r="1871" spans="1:5" x14ac:dyDescent="0.25">
      <c r="A1871" s="21"/>
      <c r="B1871" s="168"/>
      <c r="C1871" s="28"/>
      <c r="D1871" s="29"/>
      <c r="E1871" s="29"/>
    </row>
    <row r="1872" spans="1:5" x14ac:dyDescent="0.25">
      <c r="A1872" s="21"/>
      <c r="B1872" s="168"/>
      <c r="C1872" s="28"/>
      <c r="D1872" s="29"/>
      <c r="E1872" s="29"/>
    </row>
    <row r="1873" spans="1:5" x14ac:dyDescent="0.25">
      <c r="A1873" s="21"/>
      <c r="B1873" s="168"/>
      <c r="C1873" s="28"/>
      <c r="D1873" s="29"/>
      <c r="E1873" s="29"/>
    </row>
    <row r="1874" spans="1:5" x14ac:dyDescent="0.25">
      <c r="A1874" s="21"/>
      <c r="B1874" s="168"/>
      <c r="C1874" s="28"/>
      <c r="D1874" s="29"/>
      <c r="E1874" s="29"/>
    </row>
    <row r="1875" spans="1:5" x14ac:dyDescent="0.25">
      <c r="A1875" s="21"/>
      <c r="B1875" s="168"/>
      <c r="C1875" s="28"/>
      <c r="D1875" s="29"/>
      <c r="E1875" s="29"/>
    </row>
    <row r="1876" spans="1:5" x14ac:dyDescent="0.25">
      <c r="A1876" s="21"/>
      <c r="B1876" s="168"/>
      <c r="C1876" s="28"/>
      <c r="D1876" s="29"/>
      <c r="E1876" s="29"/>
    </row>
    <row r="1877" spans="1:5" x14ac:dyDescent="0.25">
      <c r="A1877" s="21"/>
      <c r="B1877" s="168"/>
      <c r="C1877" s="28"/>
      <c r="D1877" s="29"/>
      <c r="E1877" s="29"/>
    </row>
    <row r="1878" spans="1:5" x14ac:dyDescent="0.25">
      <c r="A1878" s="21"/>
      <c r="B1878" s="168"/>
      <c r="C1878" s="28"/>
      <c r="D1878" s="29"/>
      <c r="E1878" s="29"/>
    </row>
    <row r="1879" spans="1:5" x14ac:dyDescent="0.25">
      <c r="A1879" s="21"/>
      <c r="B1879" s="168"/>
      <c r="C1879" s="28"/>
      <c r="D1879" s="29"/>
      <c r="E1879" s="29"/>
    </row>
    <row r="1880" spans="1:5" x14ac:dyDescent="0.25">
      <c r="A1880" s="21"/>
      <c r="B1880" s="168"/>
      <c r="C1880" s="28"/>
      <c r="D1880" s="29"/>
      <c r="E1880" s="29"/>
    </row>
    <row r="1881" spans="1:5" x14ac:dyDescent="0.25">
      <c r="A1881" s="21"/>
      <c r="B1881" s="168"/>
      <c r="C1881" s="28"/>
      <c r="D1881" s="29"/>
      <c r="E1881" s="29"/>
    </row>
    <row r="1882" spans="1:5" x14ac:dyDescent="0.25">
      <c r="A1882" s="21"/>
      <c r="B1882" s="168"/>
      <c r="C1882" s="28"/>
      <c r="D1882" s="29"/>
      <c r="E1882" s="29"/>
    </row>
    <row r="1883" spans="1:5" x14ac:dyDescent="0.25">
      <c r="A1883" s="21"/>
      <c r="B1883" s="168"/>
      <c r="C1883" s="28"/>
      <c r="D1883" s="29"/>
      <c r="E1883" s="29"/>
    </row>
    <row r="1884" spans="1:5" x14ac:dyDescent="0.25">
      <c r="A1884" s="21"/>
      <c r="B1884" s="168"/>
      <c r="C1884" s="28"/>
      <c r="D1884" s="29"/>
      <c r="E1884" s="29"/>
    </row>
    <row r="1885" spans="1:5" x14ac:dyDescent="0.25">
      <c r="A1885" s="21"/>
      <c r="B1885" s="168"/>
      <c r="C1885" s="28"/>
      <c r="D1885" s="29"/>
      <c r="E1885" s="29"/>
    </row>
    <row r="1886" spans="1:5" x14ac:dyDescent="0.25">
      <c r="A1886" s="21"/>
      <c r="B1886" s="168"/>
      <c r="C1886" s="28"/>
      <c r="D1886" s="29"/>
      <c r="E1886" s="29"/>
    </row>
    <row r="1887" spans="1:5" x14ac:dyDescent="0.25">
      <c r="A1887" s="21"/>
      <c r="B1887" s="168"/>
      <c r="C1887" s="28"/>
      <c r="D1887" s="29"/>
      <c r="E1887" s="29"/>
    </row>
    <row r="1888" spans="1:5" x14ac:dyDescent="0.25">
      <c r="A1888" s="21"/>
      <c r="B1888" s="168"/>
      <c r="C1888" s="28"/>
      <c r="D1888" s="29"/>
      <c r="E1888" s="29"/>
    </row>
    <row r="1889" spans="1:5" x14ac:dyDescent="0.25">
      <c r="A1889" s="21"/>
      <c r="B1889" s="168"/>
      <c r="C1889" s="28"/>
      <c r="D1889" s="29"/>
      <c r="E1889" s="29"/>
    </row>
    <row r="1890" spans="1:5" x14ac:dyDescent="0.25">
      <c r="A1890" s="21"/>
      <c r="B1890" s="168"/>
      <c r="C1890" s="28"/>
      <c r="D1890" s="29"/>
      <c r="E1890" s="29"/>
    </row>
    <row r="1891" spans="1:5" x14ac:dyDescent="0.25">
      <c r="A1891" s="21"/>
      <c r="B1891" s="168"/>
      <c r="C1891" s="28"/>
      <c r="D1891" s="29"/>
      <c r="E1891" s="29"/>
    </row>
    <row r="1892" spans="1:5" x14ac:dyDescent="0.25">
      <c r="A1892" s="21"/>
      <c r="B1892" s="168"/>
      <c r="C1892" s="28"/>
      <c r="D1892" s="29"/>
      <c r="E1892" s="29"/>
    </row>
    <row r="1893" spans="1:5" x14ac:dyDescent="0.25">
      <c r="A1893" s="21"/>
      <c r="B1893" s="168"/>
      <c r="C1893" s="28"/>
      <c r="D1893" s="29"/>
      <c r="E1893" s="29"/>
    </row>
    <row r="1894" spans="1:5" x14ac:dyDescent="0.25">
      <c r="A1894" s="21"/>
      <c r="B1894" s="168"/>
      <c r="C1894" s="28"/>
      <c r="D1894" s="29"/>
      <c r="E1894" s="29"/>
    </row>
    <row r="1895" spans="1:5" x14ac:dyDescent="0.25">
      <c r="A1895" s="21"/>
      <c r="B1895" s="168"/>
      <c r="C1895" s="28"/>
      <c r="D1895" s="29"/>
      <c r="E1895" s="29"/>
    </row>
    <row r="1896" spans="1:5" x14ac:dyDescent="0.25">
      <c r="A1896" s="21"/>
      <c r="B1896" s="168"/>
      <c r="C1896" s="28"/>
      <c r="D1896" s="29"/>
      <c r="E1896" s="29"/>
    </row>
    <row r="1897" spans="1:5" x14ac:dyDescent="0.25">
      <c r="A1897" s="21"/>
      <c r="B1897" s="168"/>
      <c r="C1897" s="28"/>
      <c r="D1897" s="29"/>
      <c r="E1897" s="29"/>
    </row>
    <row r="1898" spans="1:5" x14ac:dyDescent="0.25">
      <c r="A1898" s="21"/>
      <c r="B1898" s="168"/>
      <c r="C1898" s="28"/>
      <c r="D1898" s="29"/>
      <c r="E1898" s="29"/>
    </row>
    <row r="1899" spans="1:5" x14ac:dyDescent="0.25">
      <c r="A1899" s="21"/>
      <c r="B1899" s="168"/>
      <c r="C1899" s="28"/>
      <c r="D1899" s="29"/>
      <c r="E1899" s="29"/>
    </row>
    <row r="1900" spans="1:5" x14ac:dyDescent="0.25">
      <c r="A1900" s="21"/>
      <c r="B1900" s="168"/>
      <c r="C1900" s="28"/>
      <c r="D1900" s="29"/>
      <c r="E1900" s="29"/>
    </row>
    <row r="1901" spans="1:5" x14ac:dyDescent="0.25">
      <c r="A1901" s="21"/>
      <c r="B1901" s="168"/>
      <c r="C1901" s="28"/>
      <c r="D1901" s="29"/>
      <c r="E1901" s="29"/>
    </row>
    <row r="1902" spans="1:5" x14ac:dyDescent="0.25">
      <c r="A1902" s="21"/>
      <c r="B1902" s="168"/>
      <c r="C1902" s="28"/>
      <c r="D1902" s="29"/>
      <c r="E1902" s="29"/>
    </row>
    <row r="1903" spans="1:5" x14ac:dyDescent="0.25">
      <c r="A1903" s="21"/>
      <c r="B1903" s="168"/>
      <c r="C1903" s="28"/>
      <c r="D1903" s="29"/>
      <c r="E1903" s="29"/>
    </row>
    <row r="1904" spans="1:5" x14ac:dyDescent="0.25">
      <c r="A1904" s="21"/>
      <c r="B1904" s="168"/>
      <c r="C1904" s="28"/>
      <c r="D1904" s="29"/>
      <c r="E1904" s="29"/>
    </row>
    <row r="1905" spans="1:5" x14ac:dyDescent="0.25">
      <c r="A1905" s="21"/>
      <c r="B1905" s="168"/>
      <c r="C1905" s="28"/>
      <c r="D1905" s="29"/>
      <c r="E1905" s="29"/>
    </row>
    <row r="1906" spans="1:5" x14ac:dyDescent="0.25">
      <c r="A1906" s="21"/>
      <c r="B1906" s="168"/>
      <c r="C1906" s="28"/>
      <c r="D1906" s="29"/>
      <c r="E1906" s="29"/>
    </row>
    <row r="1907" spans="1:5" x14ac:dyDescent="0.25">
      <c r="A1907" s="21"/>
      <c r="B1907" s="168"/>
      <c r="C1907" s="28"/>
      <c r="D1907" s="29"/>
      <c r="E1907" s="29"/>
    </row>
    <row r="1908" spans="1:5" x14ac:dyDescent="0.25">
      <c r="A1908" s="21"/>
      <c r="B1908" s="168"/>
      <c r="C1908" s="28"/>
      <c r="D1908" s="29"/>
      <c r="E1908" s="29"/>
    </row>
    <row r="1909" spans="1:5" x14ac:dyDescent="0.25">
      <c r="A1909" s="21"/>
      <c r="B1909" s="168"/>
      <c r="C1909" s="28"/>
      <c r="D1909" s="29"/>
      <c r="E1909" s="29"/>
    </row>
    <row r="1910" spans="1:5" x14ac:dyDescent="0.25">
      <c r="A1910" s="21"/>
      <c r="B1910" s="168"/>
      <c r="C1910" s="28"/>
      <c r="D1910" s="29"/>
      <c r="E1910" s="29"/>
    </row>
    <row r="1911" spans="1:5" x14ac:dyDescent="0.25">
      <c r="A1911" s="21"/>
      <c r="B1911" s="168"/>
      <c r="C1911" s="28"/>
      <c r="D1911" s="29"/>
      <c r="E1911" s="29"/>
    </row>
    <row r="1912" spans="1:5" x14ac:dyDescent="0.25">
      <c r="A1912" s="21"/>
      <c r="B1912" s="168"/>
      <c r="C1912" s="28"/>
      <c r="D1912" s="29"/>
      <c r="E1912" s="29"/>
    </row>
    <row r="1913" spans="1:5" x14ac:dyDescent="0.25">
      <c r="A1913" s="21"/>
      <c r="B1913" s="168"/>
      <c r="C1913" s="28"/>
      <c r="D1913" s="29"/>
      <c r="E1913" s="29"/>
    </row>
    <row r="1914" spans="1:5" x14ac:dyDescent="0.25">
      <c r="A1914" s="21"/>
      <c r="B1914" s="168"/>
      <c r="C1914" s="28"/>
      <c r="D1914" s="29"/>
      <c r="E1914" s="29"/>
    </row>
    <row r="1915" spans="1:5" x14ac:dyDescent="0.25">
      <c r="A1915" s="21"/>
      <c r="B1915" s="168"/>
      <c r="C1915" s="28"/>
      <c r="D1915" s="29"/>
      <c r="E1915" s="29"/>
    </row>
    <row r="1916" spans="1:5" x14ac:dyDescent="0.25">
      <c r="A1916" s="21"/>
      <c r="B1916" s="168"/>
      <c r="C1916" s="28"/>
      <c r="D1916" s="29"/>
      <c r="E1916" s="29"/>
    </row>
    <row r="1917" spans="1:5" x14ac:dyDescent="0.25">
      <c r="A1917" s="21"/>
      <c r="B1917" s="168"/>
      <c r="C1917" s="28"/>
      <c r="D1917" s="29"/>
      <c r="E1917" s="29"/>
    </row>
    <row r="1918" spans="1:5" x14ac:dyDescent="0.25">
      <c r="A1918" s="21"/>
      <c r="B1918" s="168"/>
      <c r="C1918" s="28"/>
      <c r="D1918" s="29"/>
      <c r="E1918" s="29"/>
    </row>
    <row r="1919" spans="1:5" x14ac:dyDescent="0.25">
      <c r="A1919" s="21"/>
      <c r="B1919" s="168"/>
      <c r="C1919" s="28"/>
      <c r="D1919" s="29"/>
      <c r="E1919" s="29"/>
    </row>
    <row r="1920" spans="1:5" x14ac:dyDescent="0.25">
      <c r="A1920" s="21"/>
      <c r="B1920" s="168"/>
      <c r="C1920" s="28"/>
      <c r="D1920" s="29"/>
      <c r="E1920" s="29"/>
    </row>
    <row r="1921" spans="1:5" x14ac:dyDescent="0.25">
      <c r="A1921" s="21"/>
      <c r="B1921" s="168"/>
      <c r="C1921" s="28"/>
      <c r="D1921" s="29"/>
      <c r="E1921" s="29"/>
    </row>
    <row r="1922" spans="1:5" x14ac:dyDescent="0.25">
      <c r="A1922" s="21"/>
      <c r="B1922" s="168"/>
      <c r="C1922" s="28"/>
      <c r="D1922" s="29"/>
      <c r="E1922" s="29"/>
    </row>
    <row r="1923" spans="1:5" x14ac:dyDescent="0.25">
      <c r="A1923" s="21"/>
      <c r="B1923" s="168"/>
      <c r="C1923" s="28"/>
      <c r="D1923" s="29"/>
      <c r="E1923" s="29"/>
    </row>
    <row r="1924" spans="1:5" x14ac:dyDescent="0.25">
      <c r="A1924" s="21"/>
      <c r="B1924" s="168"/>
      <c r="C1924" s="28"/>
      <c r="D1924" s="29"/>
      <c r="E1924" s="29"/>
    </row>
    <row r="1925" spans="1:5" x14ac:dyDescent="0.25">
      <c r="A1925" s="21"/>
      <c r="B1925" s="168"/>
      <c r="C1925" s="28"/>
      <c r="D1925" s="29"/>
      <c r="E1925" s="29"/>
    </row>
    <row r="1926" spans="1:5" x14ac:dyDescent="0.25">
      <c r="A1926" s="21"/>
      <c r="B1926" s="168"/>
      <c r="C1926" s="28"/>
      <c r="D1926" s="29"/>
      <c r="E1926" s="29"/>
    </row>
    <row r="1927" spans="1:5" x14ac:dyDescent="0.25">
      <c r="A1927" s="21"/>
      <c r="B1927" s="168"/>
      <c r="C1927" s="28"/>
      <c r="D1927" s="29"/>
      <c r="E1927" s="29"/>
    </row>
    <row r="1928" spans="1:5" x14ac:dyDescent="0.25">
      <c r="A1928" s="21"/>
      <c r="B1928" s="168"/>
      <c r="C1928" s="28"/>
      <c r="D1928" s="29"/>
      <c r="E1928" s="29"/>
    </row>
    <row r="1929" spans="1:5" x14ac:dyDescent="0.25">
      <c r="A1929" s="21"/>
      <c r="B1929" s="168"/>
      <c r="C1929" s="28"/>
      <c r="D1929" s="29"/>
      <c r="E1929" s="29"/>
    </row>
    <row r="1930" spans="1:5" x14ac:dyDescent="0.25">
      <c r="A1930" s="21"/>
      <c r="B1930" s="168"/>
      <c r="C1930" s="28"/>
      <c r="D1930" s="29"/>
      <c r="E1930" s="29"/>
    </row>
    <row r="1931" spans="1:5" x14ac:dyDescent="0.25">
      <c r="A1931" s="21"/>
      <c r="B1931" s="168"/>
      <c r="C1931" s="28"/>
      <c r="D1931" s="29"/>
      <c r="E1931" s="29"/>
    </row>
    <row r="1932" spans="1:5" x14ac:dyDescent="0.25">
      <c r="A1932" s="21"/>
      <c r="B1932" s="168"/>
      <c r="C1932" s="28"/>
      <c r="D1932" s="29"/>
      <c r="E1932" s="29"/>
    </row>
    <row r="1933" spans="1:5" x14ac:dyDescent="0.25">
      <c r="A1933" s="21"/>
      <c r="B1933" s="168"/>
      <c r="C1933" s="28"/>
      <c r="D1933" s="29"/>
      <c r="E1933" s="29"/>
    </row>
    <row r="1934" spans="1:5" x14ac:dyDescent="0.25">
      <c r="A1934" s="21"/>
      <c r="B1934" s="168"/>
      <c r="C1934" s="28"/>
      <c r="D1934" s="29"/>
      <c r="E1934" s="29"/>
    </row>
    <row r="1935" spans="1:5" x14ac:dyDescent="0.25">
      <c r="A1935" s="21"/>
      <c r="B1935" s="168"/>
      <c r="C1935" s="28"/>
      <c r="D1935" s="29"/>
      <c r="E1935" s="29"/>
    </row>
    <row r="1936" spans="1:5" x14ac:dyDescent="0.25">
      <c r="A1936" s="21"/>
      <c r="B1936" s="168"/>
      <c r="C1936" s="28"/>
      <c r="D1936" s="29"/>
      <c r="E1936" s="29"/>
    </row>
    <row r="1937" spans="1:5" x14ac:dyDescent="0.25">
      <c r="A1937" s="21"/>
      <c r="B1937" s="168"/>
      <c r="C1937" s="28"/>
      <c r="D1937" s="29"/>
      <c r="E1937" s="29"/>
    </row>
    <row r="1938" spans="1:5" x14ac:dyDescent="0.25">
      <c r="A1938" s="21"/>
      <c r="B1938" s="168"/>
      <c r="C1938" s="28"/>
      <c r="D1938" s="29"/>
      <c r="E1938" s="29"/>
    </row>
    <row r="1939" spans="1:5" x14ac:dyDescent="0.25">
      <c r="A1939" s="21"/>
      <c r="B1939" s="168"/>
      <c r="C1939" s="28"/>
      <c r="D1939" s="29"/>
      <c r="E1939" s="29"/>
    </row>
    <row r="1940" spans="1:5" x14ac:dyDescent="0.25">
      <c r="A1940" s="21"/>
      <c r="B1940" s="168"/>
      <c r="C1940" s="28"/>
      <c r="D1940" s="29"/>
      <c r="E1940" s="29"/>
    </row>
    <row r="1941" spans="1:5" x14ac:dyDescent="0.25">
      <c r="A1941" s="21"/>
      <c r="B1941" s="168"/>
      <c r="C1941" s="28"/>
      <c r="D1941" s="29"/>
      <c r="E1941" s="29"/>
    </row>
    <row r="1942" spans="1:5" x14ac:dyDescent="0.25">
      <c r="A1942" s="21"/>
      <c r="B1942" s="168"/>
      <c r="C1942" s="28"/>
      <c r="D1942" s="29"/>
      <c r="E1942" s="29"/>
    </row>
    <row r="1943" spans="1:5" x14ac:dyDescent="0.25">
      <c r="A1943" s="21"/>
      <c r="B1943" s="168"/>
      <c r="C1943" s="28"/>
      <c r="D1943" s="29"/>
      <c r="E1943" s="29"/>
    </row>
    <row r="1944" spans="1:5" x14ac:dyDescent="0.25">
      <c r="A1944" s="21"/>
      <c r="B1944" s="168"/>
      <c r="C1944" s="28"/>
      <c r="D1944" s="29"/>
      <c r="E1944" s="29"/>
    </row>
    <row r="1945" spans="1:5" x14ac:dyDescent="0.25">
      <c r="A1945" s="21"/>
      <c r="B1945" s="168"/>
      <c r="C1945" s="28"/>
      <c r="D1945" s="29"/>
      <c r="E1945" s="29"/>
    </row>
    <row r="1946" spans="1:5" x14ac:dyDescent="0.25">
      <c r="A1946" s="21"/>
      <c r="B1946" s="168"/>
      <c r="C1946" s="28"/>
      <c r="D1946" s="29"/>
      <c r="E1946" s="29"/>
    </row>
    <row r="1947" spans="1:5" x14ac:dyDescent="0.25">
      <c r="A1947" s="21"/>
      <c r="B1947" s="168"/>
      <c r="C1947" s="28"/>
      <c r="D1947" s="29"/>
      <c r="E1947" s="29"/>
    </row>
    <row r="1948" spans="1:5" x14ac:dyDescent="0.25">
      <c r="A1948" s="21"/>
      <c r="B1948" s="168"/>
      <c r="C1948" s="28"/>
      <c r="D1948" s="29"/>
      <c r="E1948" s="29"/>
    </row>
    <row r="1949" spans="1:5" x14ac:dyDescent="0.25">
      <c r="A1949" s="21"/>
      <c r="B1949" s="168"/>
      <c r="C1949" s="28"/>
      <c r="D1949" s="29"/>
      <c r="E1949" s="29"/>
    </row>
    <row r="1950" spans="1:5" x14ac:dyDescent="0.25">
      <c r="A1950" s="21"/>
      <c r="B1950" s="168"/>
      <c r="C1950" s="28"/>
      <c r="D1950" s="29"/>
      <c r="E1950" s="29"/>
    </row>
    <row r="1951" spans="1:5" x14ac:dyDescent="0.25">
      <c r="A1951" s="21"/>
      <c r="B1951" s="168"/>
      <c r="C1951" s="28"/>
      <c r="D1951" s="29"/>
      <c r="E1951" s="29"/>
    </row>
    <row r="1952" spans="1:5" x14ac:dyDescent="0.25">
      <c r="A1952" s="21"/>
      <c r="B1952" s="168"/>
      <c r="C1952" s="28"/>
      <c r="D1952" s="29"/>
      <c r="E1952" s="29"/>
    </row>
    <row r="1953" spans="1:5" x14ac:dyDescent="0.25">
      <c r="A1953" s="21"/>
      <c r="B1953" s="168"/>
      <c r="C1953" s="28"/>
      <c r="D1953" s="29"/>
      <c r="E1953" s="29"/>
    </row>
    <row r="1954" spans="1:5" x14ac:dyDescent="0.25">
      <c r="A1954" s="21"/>
      <c r="B1954" s="168"/>
      <c r="C1954" s="28"/>
      <c r="D1954" s="29"/>
      <c r="E1954" s="29"/>
    </row>
    <row r="1955" spans="1:5" x14ac:dyDescent="0.25">
      <c r="A1955" s="21"/>
      <c r="B1955" s="168"/>
      <c r="C1955" s="28"/>
      <c r="D1955" s="29"/>
      <c r="E1955" s="29"/>
    </row>
    <row r="1956" spans="1:5" x14ac:dyDescent="0.25">
      <c r="A1956" s="21"/>
      <c r="B1956" s="168"/>
      <c r="C1956" s="28"/>
      <c r="D1956" s="29"/>
      <c r="E1956" s="29"/>
    </row>
    <row r="1957" spans="1:5" x14ac:dyDescent="0.25">
      <c r="A1957" s="21"/>
      <c r="B1957" s="168"/>
      <c r="C1957" s="28"/>
      <c r="D1957" s="29"/>
      <c r="E1957" s="29"/>
    </row>
    <row r="1958" spans="1:5" x14ac:dyDescent="0.25">
      <c r="A1958" s="21"/>
      <c r="B1958" s="168"/>
      <c r="C1958" s="28"/>
      <c r="D1958" s="29"/>
      <c r="E1958" s="29"/>
    </row>
    <row r="1959" spans="1:5" x14ac:dyDescent="0.25">
      <c r="A1959" s="21"/>
      <c r="B1959" s="168"/>
      <c r="C1959" s="28"/>
      <c r="D1959" s="29"/>
      <c r="E1959" s="29"/>
    </row>
    <row r="1960" spans="1:5" x14ac:dyDescent="0.25">
      <c r="A1960" s="21"/>
      <c r="B1960" s="168"/>
      <c r="C1960" s="28"/>
      <c r="D1960" s="29"/>
      <c r="E1960" s="29"/>
    </row>
    <row r="1961" spans="1:5" x14ac:dyDescent="0.25">
      <c r="A1961" s="21"/>
      <c r="B1961" s="168"/>
      <c r="C1961" s="28"/>
      <c r="D1961" s="29"/>
      <c r="E1961" s="29"/>
    </row>
    <row r="1962" spans="1:5" x14ac:dyDescent="0.25">
      <c r="A1962" s="21"/>
      <c r="B1962" s="168"/>
      <c r="C1962" s="28"/>
      <c r="D1962" s="29"/>
      <c r="E1962" s="29"/>
    </row>
    <row r="1963" spans="1:5" x14ac:dyDescent="0.25">
      <c r="A1963" s="21"/>
      <c r="B1963" s="168"/>
      <c r="C1963" s="28"/>
      <c r="D1963" s="29"/>
      <c r="E1963" s="29"/>
    </row>
    <row r="1964" spans="1:5" x14ac:dyDescent="0.25">
      <c r="A1964" s="21"/>
      <c r="B1964" s="168"/>
      <c r="C1964" s="28"/>
      <c r="D1964" s="29"/>
      <c r="E1964" s="29"/>
    </row>
    <row r="1965" spans="1:5" x14ac:dyDescent="0.25">
      <c r="A1965" s="21"/>
      <c r="B1965" s="168"/>
      <c r="C1965" s="28"/>
      <c r="D1965" s="29"/>
      <c r="E1965" s="29"/>
    </row>
    <row r="1966" spans="1:5" x14ac:dyDescent="0.25">
      <c r="A1966" s="21"/>
      <c r="B1966" s="168"/>
      <c r="C1966" s="28"/>
      <c r="D1966" s="29"/>
      <c r="E1966" s="29"/>
    </row>
    <row r="1967" spans="1:5" x14ac:dyDescent="0.25">
      <c r="A1967" s="21"/>
      <c r="B1967" s="168"/>
      <c r="C1967" s="28"/>
      <c r="D1967" s="29"/>
      <c r="E1967" s="29"/>
    </row>
    <row r="1968" spans="1:5" x14ac:dyDescent="0.25">
      <c r="A1968" s="21"/>
      <c r="B1968" s="168"/>
      <c r="C1968" s="28"/>
      <c r="D1968" s="29"/>
      <c r="E1968" s="29"/>
    </row>
    <row r="1969" spans="1:5" x14ac:dyDescent="0.25">
      <c r="A1969" s="21"/>
      <c r="B1969" s="168"/>
      <c r="C1969" s="28"/>
      <c r="D1969" s="29"/>
      <c r="E1969" s="29"/>
    </row>
    <row r="1970" spans="1:5" x14ac:dyDescent="0.25">
      <c r="A1970" s="21"/>
      <c r="B1970" s="168"/>
      <c r="C1970" s="28"/>
      <c r="D1970" s="29"/>
      <c r="E1970" s="29"/>
    </row>
    <row r="1971" spans="1:5" x14ac:dyDescent="0.25">
      <c r="A1971" s="21"/>
      <c r="B1971" s="168"/>
      <c r="C1971" s="28"/>
      <c r="D1971" s="29"/>
      <c r="E1971" s="29"/>
    </row>
    <row r="1972" spans="1:5" x14ac:dyDescent="0.25">
      <c r="A1972" s="21"/>
      <c r="B1972" s="168"/>
      <c r="C1972" s="28"/>
      <c r="D1972" s="29"/>
      <c r="E1972" s="29"/>
    </row>
    <row r="1973" spans="1:5" x14ac:dyDescent="0.25">
      <c r="A1973" s="21"/>
      <c r="B1973" s="168"/>
      <c r="C1973" s="28"/>
      <c r="D1973" s="29"/>
      <c r="E1973" s="29"/>
    </row>
    <row r="1974" spans="1:5" x14ac:dyDescent="0.25">
      <c r="A1974" s="21"/>
      <c r="B1974" s="168"/>
      <c r="C1974" s="28"/>
      <c r="D1974" s="29"/>
      <c r="E1974" s="29"/>
    </row>
    <row r="1975" spans="1:5" x14ac:dyDescent="0.25">
      <c r="A1975" s="21"/>
      <c r="B1975" s="168"/>
      <c r="C1975" s="28"/>
      <c r="D1975" s="29"/>
      <c r="E1975" s="29"/>
    </row>
    <row r="1976" spans="1:5" x14ac:dyDescent="0.25">
      <c r="A1976" s="21"/>
      <c r="B1976" s="168"/>
      <c r="C1976" s="28"/>
      <c r="D1976" s="29"/>
      <c r="E1976" s="29"/>
    </row>
    <row r="1977" spans="1:5" x14ac:dyDescent="0.25">
      <c r="A1977" s="21"/>
      <c r="B1977" s="168"/>
      <c r="C1977" s="28"/>
      <c r="D1977" s="29"/>
      <c r="E1977" s="29"/>
    </row>
    <row r="1978" spans="1:5" x14ac:dyDescent="0.25">
      <c r="A1978" s="21"/>
      <c r="B1978" s="168"/>
      <c r="C1978" s="28"/>
      <c r="D1978" s="29"/>
      <c r="E1978" s="29"/>
    </row>
    <row r="1979" spans="1:5" x14ac:dyDescent="0.25">
      <c r="A1979" s="21"/>
      <c r="B1979" s="168"/>
      <c r="C1979" s="28"/>
      <c r="D1979" s="29"/>
      <c r="E1979" s="29"/>
    </row>
    <row r="1980" spans="1:5" x14ac:dyDescent="0.25">
      <c r="A1980" s="21"/>
      <c r="B1980" s="168"/>
      <c r="C1980" s="28"/>
      <c r="D1980" s="29"/>
      <c r="E1980" s="29"/>
    </row>
    <row r="1981" spans="1:5" x14ac:dyDescent="0.25">
      <c r="A1981" s="21"/>
      <c r="B1981" s="168"/>
      <c r="C1981" s="28"/>
      <c r="D1981" s="29"/>
      <c r="E1981" s="29"/>
    </row>
    <row r="1982" spans="1:5" x14ac:dyDescent="0.25">
      <c r="A1982" s="21"/>
      <c r="B1982" s="168"/>
      <c r="C1982" s="28"/>
      <c r="D1982" s="29"/>
      <c r="E1982" s="29"/>
    </row>
    <row r="1983" spans="1:5" x14ac:dyDescent="0.25">
      <c r="A1983" s="21"/>
      <c r="B1983" s="168"/>
      <c r="C1983" s="28"/>
      <c r="D1983" s="29"/>
      <c r="E1983" s="29"/>
    </row>
    <row r="1984" spans="1:5" x14ac:dyDescent="0.25">
      <c r="A1984" s="21"/>
      <c r="B1984" s="168"/>
      <c r="C1984" s="28"/>
      <c r="D1984" s="29"/>
      <c r="E1984" s="29"/>
    </row>
    <row r="1985" spans="1:5" x14ac:dyDescent="0.25">
      <c r="A1985" s="21"/>
      <c r="B1985" s="168"/>
      <c r="C1985" s="28"/>
      <c r="D1985" s="29"/>
      <c r="E1985" s="29"/>
    </row>
    <row r="1986" spans="1:5" x14ac:dyDescent="0.25">
      <c r="A1986" s="21"/>
      <c r="B1986" s="168"/>
      <c r="C1986" s="28"/>
      <c r="D1986" s="29"/>
      <c r="E1986" s="29"/>
    </row>
    <row r="1987" spans="1:5" x14ac:dyDescent="0.25">
      <c r="A1987" s="21"/>
      <c r="B1987" s="168"/>
      <c r="C1987" s="28"/>
      <c r="D1987" s="29"/>
      <c r="E1987" s="29"/>
    </row>
    <row r="1988" spans="1:5" x14ac:dyDescent="0.25">
      <c r="A1988" s="21"/>
      <c r="B1988" s="168"/>
      <c r="C1988" s="28"/>
      <c r="D1988" s="29"/>
      <c r="E1988" s="29"/>
    </row>
    <row r="1989" spans="1:5" x14ac:dyDescent="0.25">
      <c r="A1989" s="21"/>
      <c r="B1989" s="168"/>
      <c r="C1989" s="28"/>
      <c r="D1989" s="29"/>
      <c r="E1989" s="29"/>
    </row>
    <row r="1990" spans="1:5" x14ac:dyDescent="0.25">
      <c r="A1990" s="21"/>
      <c r="B1990" s="168"/>
      <c r="C1990" s="28"/>
      <c r="D1990" s="29"/>
      <c r="E1990" s="29"/>
    </row>
    <row r="1991" spans="1:5" x14ac:dyDescent="0.25">
      <c r="A1991" s="21"/>
      <c r="B1991" s="168"/>
      <c r="C1991" s="28"/>
      <c r="D1991" s="29"/>
      <c r="E1991" s="29"/>
    </row>
    <row r="1992" spans="1:5" x14ac:dyDescent="0.25">
      <c r="A1992" s="21"/>
      <c r="B1992" s="168"/>
      <c r="C1992" s="28"/>
      <c r="D1992" s="29"/>
      <c r="E1992" s="29"/>
    </row>
    <row r="1993" spans="1:5" x14ac:dyDescent="0.25">
      <c r="A1993" s="21"/>
      <c r="B1993" s="168"/>
      <c r="C1993" s="28"/>
      <c r="D1993" s="29"/>
      <c r="E1993" s="29"/>
    </row>
    <row r="1994" spans="1:5" x14ac:dyDescent="0.25">
      <c r="A1994" s="21"/>
      <c r="B1994" s="168"/>
      <c r="C1994" s="28"/>
      <c r="D1994" s="29"/>
      <c r="E1994" s="29"/>
    </row>
    <row r="1995" spans="1:5" x14ac:dyDescent="0.25">
      <c r="A1995" s="21"/>
      <c r="B1995" s="168"/>
      <c r="C1995" s="28"/>
      <c r="D1995" s="29"/>
      <c r="E1995" s="29"/>
    </row>
    <row r="1996" spans="1:5" x14ac:dyDescent="0.25">
      <c r="A1996" s="21"/>
      <c r="B1996" s="168"/>
      <c r="C1996" s="28"/>
      <c r="D1996" s="29"/>
      <c r="E1996" s="29"/>
    </row>
    <row r="1997" spans="1:5" x14ac:dyDescent="0.25">
      <c r="A1997" s="21"/>
      <c r="B1997" s="168"/>
      <c r="C1997" s="28"/>
      <c r="D1997" s="29"/>
      <c r="E1997" s="29"/>
    </row>
    <row r="1998" spans="1:5" x14ac:dyDescent="0.25">
      <c r="A1998" s="21"/>
      <c r="B1998" s="168"/>
      <c r="C1998" s="28"/>
      <c r="D1998" s="29"/>
      <c r="E1998" s="29"/>
    </row>
    <row r="1999" spans="1:5" x14ac:dyDescent="0.25">
      <c r="A1999" s="21"/>
      <c r="B1999" s="168"/>
      <c r="C1999" s="28"/>
      <c r="D1999" s="29"/>
      <c r="E1999" s="29"/>
    </row>
    <row r="2000" spans="1:5" x14ac:dyDescent="0.25">
      <c r="A2000" s="21"/>
      <c r="B2000" s="168"/>
      <c r="C2000" s="28"/>
      <c r="D2000" s="29"/>
      <c r="E2000" s="29"/>
    </row>
    <row r="2001" spans="1:5" x14ac:dyDescent="0.25">
      <c r="A2001" s="21"/>
      <c r="B2001" s="168"/>
      <c r="C2001" s="28"/>
      <c r="D2001" s="29"/>
      <c r="E2001" s="29"/>
    </row>
    <row r="2002" spans="1:5" x14ac:dyDescent="0.25">
      <c r="A2002" s="21"/>
      <c r="B2002" s="168"/>
      <c r="C2002" s="28"/>
      <c r="D2002" s="29"/>
      <c r="E2002" s="29"/>
    </row>
    <row r="2003" spans="1:5" x14ac:dyDescent="0.25">
      <c r="A2003" s="21"/>
      <c r="B2003" s="168"/>
      <c r="C2003" s="28"/>
      <c r="D2003" s="29"/>
      <c r="E2003" s="29"/>
    </row>
    <row r="2004" spans="1:5" x14ac:dyDescent="0.25">
      <c r="A2004" s="21"/>
      <c r="B2004" s="168"/>
      <c r="C2004" s="28"/>
      <c r="D2004" s="29"/>
      <c r="E2004" s="29"/>
    </row>
    <row r="2005" spans="1:5" x14ac:dyDescent="0.25">
      <c r="A2005" s="21"/>
      <c r="B2005" s="168"/>
      <c r="C2005" s="28"/>
      <c r="D2005" s="29"/>
      <c r="E2005" s="29"/>
    </row>
    <row r="2006" spans="1:5" x14ac:dyDescent="0.25">
      <c r="A2006" s="21"/>
      <c r="B2006" s="168"/>
      <c r="C2006" s="28"/>
      <c r="D2006" s="29"/>
      <c r="E2006" s="29"/>
    </row>
    <row r="2007" spans="1:5" x14ac:dyDescent="0.25">
      <c r="A2007" s="21"/>
      <c r="B2007" s="168"/>
      <c r="C2007" s="28"/>
      <c r="D2007" s="29"/>
      <c r="E2007" s="29"/>
    </row>
    <row r="2008" spans="1:5" x14ac:dyDescent="0.25">
      <c r="A2008" s="21"/>
      <c r="B2008" s="168"/>
      <c r="C2008" s="28"/>
      <c r="D2008" s="29"/>
      <c r="E2008" s="29"/>
    </row>
    <row r="2009" spans="1:5" x14ac:dyDescent="0.25">
      <c r="A2009" s="21"/>
      <c r="B2009" s="168"/>
      <c r="C2009" s="28"/>
      <c r="D2009" s="29"/>
      <c r="E2009" s="29"/>
    </row>
    <row r="2010" spans="1:5" x14ac:dyDescent="0.25">
      <c r="A2010" s="21"/>
      <c r="B2010" s="168"/>
      <c r="C2010" s="28"/>
      <c r="D2010" s="29"/>
      <c r="E2010" s="29"/>
    </row>
    <row r="2011" spans="1:5" x14ac:dyDescent="0.25">
      <c r="A2011" s="21"/>
      <c r="B2011" s="168"/>
      <c r="C2011" s="28"/>
      <c r="D2011" s="29"/>
      <c r="E2011" s="29"/>
    </row>
    <row r="2012" spans="1:5" x14ac:dyDescent="0.25">
      <c r="A2012" s="21"/>
      <c r="B2012" s="168"/>
      <c r="C2012" s="28"/>
      <c r="D2012" s="29"/>
      <c r="E2012" s="29"/>
    </row>
    <row r="2013" spans="1:5" x14ac:dyDescent="0.25">
      <c r="A2013" s="21"/>
      <c r="B2013" s="168"/>
      <c r="C2013" s="28"/>
      <c r="D2013" s="29"/>
      <c r="E2013" s="29"/>
    </row>
    <row r="2014" spans="1:5" x14ac:dyDescent="0.25">
      <c r="A2014" s="21"/>
      <c r="B2014" s="168"/>
      <c r="C2014" s="28"/>
      <c r="D2014" s="29"/>
      <c r="E2014" s="29"/>
    </row>
    <row r="2015" spans="1:5" x14ac:dyDescent="0.25">
      <c r="A2015" s="21"/>
      <c r="B2015" s="168"/>
      <c r="C2015" s="28"/>
      <c r="D2015" s="29"/>
      <c r="E2015" s="29"/>
    </row>
    <row r="2016" spans="1:5" x14ac:dyDescent="0.25">
      <c r="A2016" s="21"/>
      <c r="B2016" s="168"/>
      <c r="C2016" s="28"/>
      <c r="D2016" s="29"/>
      <c r="E2016" s="29"/>
    </row>
    <row r="2017" spans="1:5" x14ac:dyDescent="0.25">
      <c r="A2017" s="21"/>
      <c r="B2017" s="168"/>
      <c r="C2017" s="28"/>
      <c r="D2017" s="29"/>
      <c r="E2017" s="29"/>
    </row>
    <row r="2018" spans="1:5" x14ac:dyDescent="0.25">
      <c r="A2018" s="21"/>
      <c r="B2018" s="168"/>
      <c r="C2018" s="28"/>
      <c r="D2018" s="29"/>
      <c r="E2018" s="29"/>
    </row>
    <row r="2019" spans="1:5" x14ac:dyDescent="0.25">
      <c r="A2019" s="21"/>
      <c r="B2019" s="168"/>
      <c r="C2019" s="28"/>
      <c r="D2019" s="29"/>
      <c r="E2019" s="29"/>
    </row>
    <row r="2020" spans="1:5" x14ac:dyDescent="0.25">
      <c r="A2020" s="21"/>
      <c r="B2020" s="168"/>
      <c r="C2020" s="28"/>
      <c r="D2020" s="29"/>
      <c r="E2020" s="29"/>
    </row>
    <row r="2021" spans="1:5" x14ac:dyDescent="0.25">
      <c r="A2021" s="21"/>
      <c r="B2021" s="168"/>
      <c r="C2021" s="28"/>
      <c r="D2021" s="29"/>
      <c r="E2021" s="29"/>
    </row>
    <row r="2022" spans="1:5" x14ac:dyDescent="0.25">
      <c r="A2022" s="21"/>
      <c r="B2022" s="168"/>
      <c r="C2022" s="28"/>
      <c r="D2022" s="29"/>
      <c r="E2022" s="29"/>
    </row>
    <row r="2023" spans="1:5" x14ac:dyDescent="0.25">
      <c r="A2023" s="21"/>
      <c r="B2023" s="168"/>
      <c r="C2023" s="28"/>
      <c r="D2023" s="29"/>
      <c r="E2023" s="29"/>
    </row>
    <row r="2024" spans="1:5" x14ac:dyDescent="0.25">
      <c r="A2024" s="21"/>
      <c r="B2024" s="168"/>
      <c r="C2024" s="28"/>
      <c r="D2024" s="29"/>
      <c r="E2024" s="29"/>
    </row>
    <row r="2025" spans="1:5" x14ac:dyDescent="0.25">
      <c r="A2025" s="21"/>
      <c r="B2025" s="168"/>
      <c r="C2025" s="28"/>
      <c r="D2025" s="29"/>
      <c r="E2025" s="29"/>
    </row>
    <row r="2026" spans="1:5" x14ac:dyDescent="0.25">
      <c r="A2026" s="21"/>
      <c r="B2026" s="168"/>
      <c r="C2026" s="28"/>
      <c r="D2026" s="29"/>
      <c r="E2026" s="29"/>
    </row>
    <row r="2027" spans="1:5" x14ac:dyDescent="0.25">
      <c r="A2027" s="21"/>
      <c r="B2027" s="168"/>
      <c r="C2027" s="28"/>
      <c r="D2027" s="29"/>
      <c r="E2027" s="29"/>
    </row>
    <row r="2028" spans="1:5" x14ac:dyDescent="0.25">
      <c r="A2028" s="21"/>
      <c r="B2028" s="168"/>
      <c r="C2028" s="28"/>
      <c r="D2028" s="29"/>
      <c r="E2028" s="29"/>
    </row>
    <row r="2029" spans="1:5" x14ac:dyDescent="0.25">
      <c r="A2029" s="21"/>
      <c r="B2029" s="168"/>
      <c r="C2029" s="28"/>
      <c r="D2029" s="29"/>
      <c r="E2029" s="29"/>
    </row>
    <row r="2030" spans="1:5" x14ac:dyDescent="0.25">
      <c r="A2030" s="21"/>
      <c r="B2030" s="168"/>
      <c r="C2030" s="28"/>
      <c r="D2030" s="29"/>
      <c r="E2030" s="29"/>
    </row>
    <row r="2031" spans="1:5" x14ac:dyDescent="0.25">
      <c r="A2031" s="21"/>
      <c r="B2031" s="168"/>
      <c r="C2031" s="28"/>
      <c r="D2031" s="29"/>
      <c r="E2031" s="29"/>
    </row>
    <row r="2032" spans="1:5" x14ac:dyDescent="0.25">
      <c r="A2032" s="21"/>
      <c r="B2032" s="168"/>
      <c r="C2032" s="28"/>
      <c r="D2032" s="29"/>
      <c r="E2032" s="29"/>
    </row>
    <row r="2033" spans="1:5" x14ac:dyDescent="0.25">
      <c r="A2033" s="21"/>
      <c r="B2033" s="168"/>
      <c r="C2033" s="28"/>
      <c r="D2033" s="29"/>
      <c r="E2033" s="29"/>
    </row>
    <row r="2034" spans="1:5" x14ac:dyDescent="0.25">
      <c r="A2034" s="21"/>
      <c r="B2034" s="168"/>
      <c r="C2034" s="28"/>
      <c r="D2034" s="29"/>
      <c r="E2034" s="29"/>
    </row>
    <row r="2035" spans="1:5" x14ac:dyDescent="0.25">
      <c r="A2035" s="21"/>
      <c r="B2035" s="168"/>
      <c r="C2035" s="28"/>
      <c r="D2035" s="29"/>
      <c r="E2035" s="29"/>
    </row>
    <row r="2036" spans="1:5" x14ac:dyDescent="0.25">
      <c r="A2036" s="21"/>
      <c r="B2036" s="168"/>
      <c r="C2036" s="28"/>
      <c r="D2036" s="29"/>
      <c r="E2036" s="29"/>
    </row>
    <row r="2037" spans="1:5" x14ac:dyDescent="0.25">
      <c r="A2037" s="21"/>
      <c r="B2037" s="168"/>
      <c r="C2037" s="28"/>
      <c r="D2037" s="29"/>
      <c r="E2037" s="29"/>
    </row>
    <row r="2038" spans="1:5" x14ac:dyDescent="0.25">
      <c r="A2038" s="21"/>
      <c r="B2038" s="168"/>
      <c r="C2038" s="28"/>
      <c r="D2038" s="29"/>
      <c r="E2038" s="29"/>
    </row>
    <row r="2039" spans="1:5" x14ac:dyDescent="0.25">
      <c r="A2039" s="21"/>
      <c r="B2039" s="168"/>
      <c r="C2039" s="28"/>
      <c r="D2039" s="29"/>
      <c r="E2039" s="29"/>
    </row>
    <row r="2040" spans="1:5" x14ac:dyDescent="0.25">
      <c r="A2040" s="21"/>
      <c r="B2040" s="168"/>
      <c r="C2040" s="28"/>
      <c r="D2040" s="29"/>
      <c r="E2040" s="29"/>
    </row>
    <row r="2041" spans="1:5" x14ac:dyDescent="0.25">
      <c r="A2041" s="21"/>
      <c r="B2041" s="168"/>
      <c r="C2041" s="28"/>
      <c r="D2041" s="29"/>
      <c r="E2041" s="29"/>
    </row>
    <row r="2042" spans="1:5" x14ac:dyDescent="0.25">
      <c r="A2042" s="21"/>
      <c r="B2042" s="168"/>
      <c r="C2042" s="28"/>
      <c r="D2042" s="29"/>
      <c r="E2042" s="29"/>
    </row>
    <row r="2043" spans="1:5" x14ac:dyDescent="0.25">
      <c r="A2043" s="21"/>
      <c r="B2043" s="168"/>
      <c r="C2043" s="28"/>
      <c r="D2043" s="29"/>
      <c r="E2043" s="29"/>
    </row>
    <row r="2044" spans="1:5" x14ac:dyDescent="0.25">
      <c r="A2044" s="21"/>
      <c r="B2044" s="168"/>
      <c r="C2044" s="28"/>
      <c r="D2044" s="29"/>
      <c r="E2044" s="29"/>
    </row>
    <row r="2045" spans="1:5" x14ac:dyDescent="0.25">
      <c r="A2045" s="21"/>
      <c r="B2045" s="168"/>
      <c r="C2045" s="28"/>
      <c r="D2045" s="29"/>
      <c r="E2045" s="29"/>
    </row>
    <row r="2046" spans="1:5" x14ac:dyDescent="0.25">
      <c r="A2046" s="21"/>
      <c r="B2046" s="168"/>
      <c r="C2046" s="28"/>
      <c r="D2046" s="29"/>
      <c r="E2046" s="29"/>
    </row>
    <row r="2047" spans="1:5" x14ac:dyDescent="0.25">
      <c r="A2047" s="21"/>
      <c r="B2047" s="168"/>
      <c r="C2047" s="28"/>
      <c r="D2047" s="29"/>
      <c r="E2047" s="29"/>
    </row>
    <row r="2048" spans="1:5" x14ac:dyDescent="0.25">
      <c r="A2048" s="21"/>
      <c r="B2048" s="168"/>
      <c r="C2048" s="28"/>
      <c r="D2048" s="29"/>
      <c r="E2048" s="29"/>
    </row>
    <row r="2049" spans="1:5" x14ac:dyDescent="0.25">
      <c r="A2049" s="21"/>
      <c r="B2049" s="168"/>
      <c r="C2049" s="28"/>
      <c r="D2049" s="29"/>
      <c r="E2049" s="29"/>
    </row>
    <row r="2050" spans="1:5" x14ac:dyDescent="0.25">
      <c r="A2050" s="21"/>
      <c r="B2050" s="168"/>
      <c r="C2050" s="28"/>
      <c r="D2050" s="29"/>
      <c r="E2050" s="29"/>
    </row>
    <row r="2051" spans="1:5" x14ac:dyDescent="0.25">
      <c r="A2051" s="21"/>
      <c r="B2051" s="168"/>
      <c r="C2051" s="28"/>
      <c r="D2051" s="29"/>
      <c r="E2051" s="29"/>
    </row>
    <row r="2052" spans="1:5" x14ac:dyDescent="0.25">
      <c r="A2052" s="21"/>
      <c r="B2052" s="168"/>
      <c r="C2052" s="28"/>
      <c r="D2052" s="29"/>
      <c r="E2052" s="29"/>
    </row>
    <row r="2053" spans="1:5" x14ac:dyDescent="0.25">
      <c r="A2053" s="21"/>
      <c r="B2053" s="168"/>
      <c r="C2053" s="28"/>
      <c r="D2053" s="29"/>
      <c r="E2053" s="29"/>
    </row>
    <row r="2054" spans="1:5" x14ac:dyDescent="0.25">
      <c r="A2054" s="21"/>
      <c r="B2054" s="168"/>
      <c r="C2054" s="28"/>
      <c r="D2054" s="29"/>
      <c r="E2054" s="29"/>
    </row>
    <row r="2055" spans="1:5" x14ac:dyDescent="0.25">
      <c r="A2055" s="21"/>
      <c r="B2055" s="168"/>
      <c r="C2055" s="28"/>
      <c r="D2055" s="29"/>
      <c r="E2055" s="29"/>
    </row>
    <row r="2056" spans="1:5" x14ac:dyDescent="0.25">
      <c r="A2056" s="21"/>
      <c r="B2056" s="168"/>
      <c r="C2056" s="28"/>
      <c r="D2056" s="29"/>
      <c r="E2056" s="29"/>
    </row>
    <row r="2057" spans="1:5" x14ac:dyDescent="0.25">
      <c r="A2057" s="21"/>
      <c r="B2057" s="168"/>
      <c r="C2057" s="28"/>
      <c r="D2057" s="29"/>
      <c r="E2057" s="29"/>
    </row>
    <row r="2058" spans="1:5" x14ac:dyDescent="0.25">
      <c r="A2058" s="21"/>
      <c r="B2058" s="168"/>
      <c r="C2058" s="28"/>
      <c r="D2058" s="29"/>
      <c r="E2058" s="29"/>
    </row>
    <row r="2059" spans="1:5" x14ac:dyDescent="0.25">
      <c r="A2059" s="21"/>
      <c r="B2059" s="168"/>
      <c r="C2059" s="28"/>
      <c r="D2059" s="29"/>
      <c r="E2059" s="29"/>
    </row>
    <row r="2060" spans="1:5" x14ac:dyDescent="0.25">
      <c r="A2060" s="21"/>
      <c r="B2060" s="168"/>
      <c r="C2060" s="28"/>
      <c r="D2060" s="29"/>
      <c r="E2060" s="29"/>
    </row>
    <row r="2061" spans="1:5" x14ac:dyDescent="0.25">
      <c r="A2061" s="21"/>
      <c r="B2061" s="168"/>
      <c r="C2061" s="28"/>
      <c r="D2061" s="29"/>
      <c r="E2061" s="29"/>
    </row>
    <row r="2062" spans="1:5" x14ac:dyDescent="0.25">
      <c r="A2062" s="21"/>
      <c r="B2062" s="168"/>
      <c r="C2062" s="28"/>
      <c r="D2062" s="29"/>
      <c r="E2062" s="29"/>
    </row>
    <row r="2063" spans="1:5" x14ac:dyDescent="0.25">
      <c r="A2063" s="21"/>
      <c r="B2063" s="168"/>
      <c r="C2063" s="28"/>
      <c r="D2063" s="29"/>
      <c r="E2063" s="29"/>
    </row>
    <row r="2064" spans="1:5" x14ac:dyDescent="0.25">
      <c r="A2064" s="21"/>
      <c r="B2064" s="168"/>
      <c r="C2064" s="28"/>
      <c r="D2064" s="29"/>
      <c r="E2064" s="29"/>
    </row>
    <row r="2065" spans="1:5" x14ac:dyDescent="0.25">
      <c r="A2065" s="21"/>
      <c r="B2065" s="168"/>
      <c r="C2065" s="28"/>
      <c r="D2065" s="29"/>
      <c r="E2065" s="29"/>
    </row>
    <row r="2066" spans="1:5" x14ac:dyDescent="0.25">
      <c r="A2066" s="21"/>
      <c r="B2066" s="168"/>
      <c r="C2066" s="28"/>
      <c r="D2066" s="29"/>
      <c r="E2066" s="29"/>
    </row>
    <row r="2067" spans="1:5" x14ac:dyDescent="0.25">
      <c r="A2067" s="21"/>
      <c r="B2067" s="168"/>
      <c r="C2067" s="28"/>
      <c r="D2067" s="29"/>
      <c r="E2067" s="29"/>
    </row>
    <row r="2068" spans="1:5" x14ac:dyDescent="0.25">
      <c r="A2068" s="21"/>
      <c r="B2068" s="168"/>
      <c r="C2068" s="28"/>
      <c r="D2068" s="29"/>
      <c r="E2068" s="29"/>
    </row>
    <row r="2069" spans="1:5" x14ac:dyDescent="0.25">
      <c r="A2069" s="21"/>
      <c r="B2069" s="168"/>
      <c r="C2069" s="28"/>
      <c r="D2069" s="29"/>
      <c r="E2069" s="29"/>
    </row>
    <row r="2070" spans="1:5" x14ac:dyDescent="0.25">
      <c r="A2070" s="21"/>
      <c r="B2070" s="168"/>
      <c r="C2070" s="28"/>
      <c r="D2070" s="29"/>
      <c r="E2070" s="29"/>
    </row>
    <row r="2071" spans="1:5" x14ac:dyDescent="0.25">
      <c r="A2071" s="21"/>
      <c r="B2071" s="168"/>
      <c r="C2071" s="28"/>
      <c r="D2071" s="29"/>
      <c r="E2071" s="29"/>
    </row>
    <row r="2072" spans="1:5" x14ac:dyDescent="0.25">
      <c r="A2072" s="21"/>
      <c r="B2072" s="168"/>
      <c r="C2072" s="28"/>
      <c r="D2072" s="29"/>
      <c r="E2072" s="29"/>
    </row>
    <row r="2073" spans="1:5" x14ac:dyDescent="0.25">
      <c r="A2073" s="21"/>
      <c r="B2073" s="168"/>
      <c r="C2073" s="28"/>
      <c r="D2073" s="29"/>
      <c r="E2073" s="29"/>
    </row>
    <row r="2074" spans="1:5" x14ac:dyDescent="0.25">
      <c r="A2074" s="21"/>
      <c r="B2074" s="168"/>
      <c r="C2074" s="28"/>
      <c r="D2074" s="29"/>
      <c r="E2074" s="29"/>
    </row>
    <row r="2075" spans="1:5" x14ac:dyDescent="0.25">
      <c r="A2075" s="21"/>
      <c r="B2075" s="168"/>
      <c r="C2075" s="28"/>
      <c r="D2075" s="29"/>
      <c r="E2075" s="29"/>
    </row>
    <row r="2076" spans="1:5" x14ac:dyDescent="0.25">
      <c r="A2076" s="21"/>
      <c r="B2076" s="168"/>
      <c r="C2076" s="28"/>
      <c r="D2076" s="29"/>
      <c r="E2076" s="29"/>
    </row>
    <row r="2077" spans="1:5" x14ac:dyDescent="0.25">
      <c r="A2077" s="21"/>
      <c r="B2077" s="168"/>
      <c r="C2077" s="28"/>
      <c r="D2077" s="29"/>
      <c r="E2077" s="29"/>
    </row>
    <row r="2078" spans="1:5" x14ac:dyDescent="0.25">
      <c r="A2078" s="21"/>
      <c r="B2078" s="168"/>
      <c r="C2078" s="28"/>
      <c r="D2078" s="29"/>
      <c r="E2078" s="29"/>
    </row>
    <row r="2079" spans="1:5" x14ac:dyDescent="0.25">
      <c r="A2079" s="21"/>
      <c r="B2079" s="168"/>
      <c r="C2079" s="28"/>
      <c r="D2079" s="29"/>
      <c r="E2079" s="29"/>
    </row>
    <row r="2080" spans="1:5" x14ac:dyDescent="0.25">
      <c r="A2080" s="21"/>
      <c r="B2080" s="168"/>
      <c r="C2080" s="28"/>
      <c r="D2080" s="29"/>
      <c r="E2080" s="29"/>
    </row>
    <row r="2081" spans="1:5" x14ac:dyDescent="0.25">
      <c r="A2081" s="21"/>
      <c r="B2081" s="168"/>
      <c r="C2081" s="28"/>
      <c r="D2081" s="29"/>
      <c r="E2081" s="29"/>
    </row>
    <row r="2082" spans="1:5" x14ac:dyDescent="0.25">
      <c r="A2082" s="21"/>
      <c r="B2082" s="168"/>
      <c r="C2082" s="28"/>
      <c r="D2082" s="29"/>
      <c r="E2082" s="29"/>
    </row>
    <row r="2083" spans="1:5" x14ac:dyDescent="0.25">
      <c r="A2083" s="21"/>
      <c r="B2083" s="168"/>
      <c r="C2083" s="28"/>
      <c r="D2083" s="29"/>
      <c r="E2083" s="29"/>
    </row>
    <row r="2084" spans="1:5" x14ac:dyDescent="0.25">
      <c r="A2084" s="21"/>
      <c r="B2084" s="168"/>
      <c r="C2084" s="28"/>
      <c r="D2084" s="29"/>
      <c r="E2084" s="29"/>
    </row>
    <row r="2085" spans="1:5" x14ac:dyDescent="0.25">
      <c r="A2085" s="21"/>
      <c r="B2085" s="168"/>
      <c r="C2085" s="28"/>
      <c r="D2085" s="29"/>
      <c r="E2085" s="29"/>
    </row>
    <row r="2086" spans="1:5" x14ac:dyDescent="0.25">
      <c r="A2086" s="21"/>
      <c r="B2086" s="168"/>
      <c r="C2086" s="28"/>
      <c r="D2086" s="29"/>
      <c r="E2086" s="29"/>
    </row>
    <row r="2087" spans="1:5" x14ac:dyDescent="0.25">
      <c r="A2087" s="21"/>
      <c r="B2087" s="168"/>
      <c r="C2087" s="28"/>
      <c r="D2087" s="29"/>
      <c r="E2087" s="29"/>
    </row>
    <row r="2088" spans="1:5" x14ac:dyDescent="0.25">
      <c r="A2088" s="21"/>
      <c r="B2088" s="168"/>
      <c r="C2088" s="28"/>
      <c r="D2088" s="29"/>
      <c r="E2088" s="29"/>
    </row>
    <row r="2089" spans="1:5" x14ac:dyDescent="0.25">
      <c r="A2089" s="21"/>
      <c r="B2089" s="168"/>
      <c r="C2089" s="28"/>
      <c r="D2089" s="29"/>
      <c r="E2089" s="29"/>
    </row>
    <row r="2090" spans="1:5" x14ac:dyDescent="0.25">
      <c r="A2090" s="21"/>
      <c r="B2090" s="168"/>
      <c r="C2090" s="28"/>
      <c r="D2090" s="29"/>
      <c r="E2090" s="29"/>
    </row>
    <row r="2091" spans="1:5" x14ac:dyDescent="0.25">
      <c r="A2091" s="21"/>
      <c r="B2091" s="168"/>
      <c r="C2091" s="28"/>
      <c r="D2091" s="29"/>
      <c r="E2091" s="29"/>
    </row>
    <row r="2092" spans="1:5" x14ac:dyDescent="0.25">
      <c r="A2092" s="21"/>
      <c r="B2092" s="168"/>
      <c r="C2092" s="28"/>
      <c r="D2092" s="29"/>
      <c r="E2092" s="29"/>
    </row>
    <row r="2093" spans="1:5" x14ac:dyDescent="0.25">
      <c r="A2093" s="21"/>
      <c r="B2093" s="168"/>
      <c r="C2093" s="28"/>
      <c r="D2093" s="29"/>
      <c r="E2093" s="29"/>
    </row>
    <row r="2094" spans="1:5" x14ac:dyDescent="0.25">
      <c r="A2094" s="21"/>
      <c r="B2094" s="168"/>
      <c r="C2094" s="28"/>
      <c r="D2094" s="29"/>
      <c r="E2094" s="29"/>
    </row>
    <row r="2095" spans="1:5" x14ac:dyDescent="0.25">
      <c r="A2095" s="21"/>
      <c r="B2095" s="168"/>
      <c r="C2095" s="28"/>
      <c r="D2095" s="29"/>
      <c r="E2095" s="29"/>
    </row>
    <row r="2096" spans="1:5" x14ac:dyDescent="0.25">
      <c r="A2096" s="21"/>
      <c r="B2096" s="168"/>
      <c r="C2096" s="28"/>
      <c r="D2096" s="29"/>
      <c r="E2096" s="29"/>
    </row>
    <row r="2097" spans="1:5" x14ac:dyDescent="0.25">
      <c r="A2097" s="21"/>
      <c r="B2097" s="168"/>
      <c r="C2097" s="28"/>
      <c r="D2097" s="29"/>
      <c r="E2097" s="29"/>
    </row>
    <row r="2098" spans="1:5" x14ac:dyDescent="0.25">
      <c r="A2098" s="21"/>
      <c r="B2098" s="168"/>
      <c r="C2098" s="28"/>
      <c r="D2098" s="29"/>
      <c r="E2098" s="29"/>
    </row>
    <row r="2099" spans="1:5" x14ac:dyDescent="0.25">
      <c r="A2099" s="21"/>
      <c r="B2099" s="168"/>
      <c r="C2099" s="28"/>
      <c r="D2099" s="29"/>
      <c r="E2099" s="29"/>
    </row>
    <row r="2100" spans="1:5" x14ac:dyDescent="0.25">
      <c r="A2100" s="21"/>
      <c r="B2100" s="168"/>
      <c r="C2100" s="28"/>
      <c r="D2100" s="29"/>
      <c r="E2100" s="29"/>
    </row>
    <row r="2101" spans="1:5" x14ac:dyDescent="0.25">
      <c r="A2101" s="21"/>
      <c r="B2101" s="168"/>
      <c r="C2101" s="28"/>
      <c r="D2101" s="29"/>
      <c r="E2101" s="29"/>
    </row>
    <row r="2102" spans="1:5" x14ac:dyDescent="0.25">
      <c r="A2102" s="21"/>
      <c r="B2102" s="168"/>
      <c r="C2102" s="28"/>
      <c r="D2102" s="29"/>
      <c r="E2102" s="29"/>
    </row>
    <row r="2103" spans="1:5" x14ac:dyDescent="0.25">
      <c r="A2103" s="21"/>
      <c r="B2103" s="168"/>
      <c r="C2103" s="28"/>
      <c r="D2103" s="29"/>
      <c r="E2103" s="29"/>
    </row>
    <row r="2104" spans="1:5" x14ac:dyDescent="0.25">
      <c r="A2104" s="21"/>
      <c r="B2104" s="168"/>
      <c r="C2104" s="28"/>
      <c r="D2104" s="29"/>
      <c r="E2104" s="29"/>
    </row>
    <row r="2105" spans="1:5" x14ac:dyDescent="0.25">
      <c r="A2105" s="21"/>
      <c r="B2105" s="168"/>
      <c r="C2105" s="28"/>
      <c r="D2105" s="29"/>
      <c r="E2105" s="29"/>
    </row>
    <row r="2106" spans="1:5" x14ac:dyDescent="0.25">
      <c r="A2106" s="21"/>
      <c r="B2106" s="168"/>
      <c r="C2106" s="28"/>
      <c r="D2106" s="29"/>
      <c r="E2106" s="29"/>
    </row>
    <row r="2107" spans="1:5" x14ac:dyDescent="0.25">
      <c r="A2107" s="21"/>
      <c r="B2107" s="168"/>
      <c r="C2107" s="28"/>
      <c r="D2107" s="29"/>
      <c r="E2107" s="29"/>
    </row>
    <row r="2108" spans="1:5" x14ac:dyDescent="0.25">
      <c r="A2108" s="21"/>
      <c r="B2108" s="168"/>
      <c r="C2108" s="28"/>
      <c r="D2108" s="29"/>
      <c r="E2108" s="29"/>
    </row>
    <row r="2109" spans="1:5" x14ac:dyDescent="0.25">
      <c r="A2109" s="21"/>
      <c r="B2109" s="168"/>
      <c r="C2109" s="28"/>
      <c r="D2109" s="29"/>
      <c r="E2109" s="29"/>
    </row>
    <row r="2110" spans="1:5" x14ac:dyDescent="0.25">
      <c r="A2110" s="21"/>
      <c r="B2110" s="168"/>
      <c r="C2110" s="28"/>
      <c r="D2110" s="29"/>
      <c r="E2110" s="29"/>
    </row>
    <row r="2111" spans="1:5" x14ac:dyDescent="0.25">
      <c r="A2111" s="21"/>
      <c r="B2111" s="168"/>
      <c r="C2111" s="28"/>
      <c r="D2111" s="29"/>
      <c r="E2111" s="29"/>
    </row>
    <row r="2112" spans="1:5" x14ac:dyDescent="0.25">
      <c r="A2112" s="21"/>
      <c r="B2112" s="168"/>
      <c r="C2112" s="28"/>
      <c r="D2112" s="29"/>
      <c r="E2112" s="29"/>
    </row>
    <row r="2113" spans="1:5" x14ac:dyDescent="0.25">
      <c r="A2113" s="21"/>
      <c r="B2113" s="168"/>
      <c r="C2113" s="28"/>
      <c r="D2113" s="29"/>
      <c r="E2113" s="29"/>
    </row>
    <row r="2114" spans="1:5" x14ac:dyDescent="0.25">
      <c r="A2114" s="21"/>
      <c r="B2114" s="168"/>
      <c r="C2114" s="28"/>
      <c r="D2114" s="29"/>
      <c r="E2114" s="29"/>
    </row>
    <row r="2115" spans="1:5" x14ac:dyDescent="0.25">
      <c r="A2115" s="21"/>
      <c r="B2115" s="168"/>
      <c r="C2115" s="28"/>
      <c r="D2115" s="29"/>
      <c r="E2115" s="29"/>
    </row>
    <row r="2116" spans="1:5" x14ac:dyDescent="0.25">
      <c r="A2116" s="21"/>
      <c r="B2116" s="168"/>
      <c r="C2116" s="28"/>
      <c r="D2116" s="29"/>
      <c r="E2116" s="29"/>
    </row>
    <row r="2117" spans="1:5" x14ac:dyDescent="0.25">
      <c r="A2117" s="21"/>
      <c r="B2117" s="168"/>
      <c r="C2117" s="28"/>
      <c r="D2117" s="29"/>
      <c r="E2117" s="29"/>
    </row>
    <row r="2118" spans="1:5" x14ac:dyDescent="0.25">
      <c r="A2118" s="21"/>
      <c r="B2118" s="168"/>
      <c r="C2118" s="28"/>
      <c r="D2118" s="29"/>
      <c r="E2118" s="29"/>
    </row>
    <row r="2119" spans="1:5" x14ac:dyDescent="0.25">
      <c r="A2119" s="21"/>
      <c r="B2119" s="168"/>
      <c r="C2119" s="28"/>
      <c r="D2119" s="29"/>
      <c r="E2119" s="29"/>
    </row>
    <row r="2120" spans="1:5" x14ac:dyDescent="0.25">
      <c r="A2120" s="21"/>
      <c r="B2120" s="168"/>
      <c r="C2120" s="28"/>
      <c r="D2120" s="29"/>
      <c r="E2120" s="29"/>
    </row>
    <row r="2121" spans="1:5" x14ac:dyDescent="0.25">
      <c r="A2121" s="21"/>
      <c r="B2121" s="168"/>
      <c r="C2121" s="28"/>
      <c r="D2121" s="29"/>
      <c r="E2121" s="29"/>
    </row>
    <row r="2122" spans="1:5" x14ac:dyDescent="0.25">
      <c r="A2122" s="21"/>
      <c r="B2122" s="168"/>
      <c r="C2122" s="28"/>
      <c r="D2122" s="29"/>
      <c r="E2122" s="29"/>
    </row>
    <row r="2123" spans="1:5" x14ac:dyDescent="0.25">
      <c r="A2123" s="21"/>
      <c r="B2123" s="168"/>
      <c r="C2123" s="28"/>
      <c r="D2123" s="29"/>
      <c r="E2123" s="29"/>
    </row>
    <row r="2124" spans="1:5" x14ac:dyDescent="0.25">
      <c r="A2124" s="21"/>
      <c r="B2124" s="168"/>
      <c r="C2124" s="28"/>
      <c r="D2124" s="29"/>
      <c r="E2124" s="29"/>
    </row>
    <row r="2125" spans="1:5" x14ac:dyDescent="0.25">
      <c r="A2125" s="21"/>
      <c r="B2125" s="168"/>
      <c r="C2125" s="28"/>
      <c r="D2125" s="29"/>
      <c r="E2125" s="29"/>
    </row>
    <row r="2126" spans="1:5" x14ac:dyDescent="0.25">
      <c r="A2126" s="21"/>
      <c r="B2126" s="168"/>
      <c r="C2126" s="28"/>
      <c r="D2126" s="29"/>
      <c r="E2126" s="29"/>
    </row>
    <row r="2127" spans="1:5" x14ac:dyDescent="0.25">
      <c r="A2127" s="21"/>
      <c r="B2127" s="168"/>
      <c r="C2127" s="28"/>
      <c r="D2127" s="29"/>
      <c r="E2127" s="29"/>
    </row>
    <row r="2128" spans="1:5" x14ac:dyDescent="0.25">
      <c r="A2128" s="21"/>
      <c r="B2128" s="168"/>
      <c r="C2128" s="28"/>
      <c r="D2128" s="29"/>
      <c r="E2128" s="29"/>
    </row>
    <row r="2129" spans="1:5" x14ac:dyDescent="0.25">
      <c r="A2129" s="21"/>
      <c r="B2129" s="168"/>
      <c r="C2129" s="28"/>
      <c r="D2129" s="29"/>
      <c r="E2129" s="29"/>
    </row>
    <row r="2130" spans="1:5" x14ac:dyDescent="0.25">
      <c r="A2130" s="21"/>
      <c r="B2130" s="168"/>
      <c r="C2130" s="28"/>
      <c r="D2130" s="29"/>
      <c r="E2130" s="29"/>
    </row>
    <row r="2131" spans="1:5" x14ac:dyDescent="0.25">
      <c r="A2131" s="21"/>
      <c r="B2131" s="168"/>
      <c r="C2131" s="28"/>
      <c r="D2131" s="29"/>
      <c r="E2131" s="29"/>
    </row>
    <row r="2132" spans="1:5" x14ac:dyDescent="0.25">
      <c r="A2132" s="21"/>
      <c r="B2132" s="168"/>
      <c r="C2132" s="28"/>
      <c r="D2132" s="29"/>
      <c r="E2132" s="29"/>
    </row>
    <row r="2133" spans="1:5" x14ac:dyDescent="0.25">
      <c r="A2133" s="21"/>
      <c r="B2133" s="168"/>
      <c r="C2133" s="28"/>
      <c r="D2133" s="29"/>
      <c r="E2133" s="29"/>
    </row>
    <row r="2134" spans="1:5" x14ac:dyDescent="0.25">
      <c r="A2134" s="21"/>
      <c r="B2134" s="168"/>
      <c r="C2134" s="28"/>
      <c r="D2134" s="29"/>
      <c r="E2134" s="29"/>
    </row>
    <row r="2135" spans="1:5" x14ac:dyDescent="0.25">
      <c r="A2135" s="21"/>
      <c r="B2135" s="168"/>
      <c r="C2135" s="28"/>
      <c r="D2135" s="29"/>
      <c r="E2135" s="29"/>
    </row>
    <row r="2136" spans="1:5" x14ac:dyDescent="0.25">
      <c r="A2136" s="21"/>
      <c r="B2136" s="168"/>
      <c r="C2136" s="28"/>
      <c r="D2136" s="29"/>
      <c r="E2136" s="29"/>
    </row>
    <row r="2137" spans="1:5" x14ac:dyDescent="0.25">
      <c r="A2137" s="21"/>
      <c r="B2137" s="168"/>
      <c r="C2137" s="28"/>
      <c r="D2137" s="29"/>
      <c r="E2137" s="29"/>
    </row>
    <row r="2138" spans="1:5" x14ac:dyDescent="0.25">
      <c r="A2138" s="21"/>
      <c r="B2138" s="168"/>
      <c r="C2138" s="28"/>
      <c r="D2138" s="29"/>
      <c r="E2138" s="29"/>
    </row>
    <row r="2139" spans="1:5" x14ac:dyDescent="0.25">
      <c r="A2139" s="21"/>
      <c r="B2139" s="168"/>
      <c r="C2139" s="28"/>
      <c r="D2139" s="29"/>
      <c r="E2139" s="29"/>
    </row>
    <row r="2140" spans="1:5" x14ac:dyDescent="0.25">
      <c r="A2140" s="21"/>
      <c r="B2140" s="168"/>
      <c r="C2140" s="28"/>
      <c r="D2140" s="29"/>
      <c r="E2140" s="29"/>
    </row>
    <row r="2141" spans="1:5" x14ac:dyDescent="0.25">
      <c r="A2141" s="21"/>
      <c r="B2141" s="168"/>
      <c r="C2141" s="28"/>
      <c r="D2141" s="29"/>
      <c r="E2141" s="29"/>
    </row>
    <row r="2142" spans="1:5" x14ac:dyDescent="0.25">
      <c r="A2142" s="21"/>
      <c r="B2142" s="168"/>
      <c r="C2142" s="28"/>
      <c r="D2142" s="29"/>
      <c r="E2142" s="29"/>
    </row>
    <row r="2143" spans="1:5" x14ac:dyDescent="0.25">
      <c r="A2143" s="21"/>
      <c r="B2143" s="168"/>
      <c r="C2143" s="28"/>
      <c r="D2143" s="29"/>
      <c r="E2143" s="29"/>
    </row>
    <row r="2144" spans="1:5" x14ac:dyDescent="0.25">
      <c r="A2144" s="21"/>
      <c r="B2144" s="168"/>
      <c r="C2144" s="28"/>
      <c r="D2144" s="29"/>
      <c r="E2144" s="29"/>
    </row>
    <row r="2145" spans="1:6" x14ac:dyDescent="0.25">
      <c r="A2145" s="21"/>
      <c r="B2145" s="168"/>
      <c r="C2145" s="28"/>
      <c r="D2145" s="29"/>
      <c r="E2145" s="29"/>
    </row>
    <row r="2146" spans="1:6" x14ac:dyDescent="0.25">
      <c r="A2146" s="21"/>
      <c r="B2146" s="168"/>
      <c r="C2146" s="28"/>
      <c r="D2146" s="29"/>
      <c r="E2146" s="29"/>
    </row>
    <row r="2147" spans="1:6" x14ac:dyDescent="0.25">
      <c r="A2147" s="21"/>
      <c r="B2147" s="168"/>
      <c r="C2147" s="28"/>
      <c r="D2147" s="29"/>
      <c r="E2147" s="29"/>
    </row>
    <row r="2148" spans="1:6" x14ac:dyDescent="0.25">
      <c r="A2148" s="21"/>
      <c r="B2148" s="168"/>
      <c r="C2148" s="28"/>
      <c r="D2148" s="29"/>
      <c r="E2148" s="29"/>
    </row>
    <row r="2149" spans="1:6" x14ac:dyDescent="0.25">
      <c r="A2149" s="21"/>
      <c r="B2149" s="168"/>
      <c r="C2149" s="28"/>
      <c r="D2149" s="29"/>
      <c r="E2149" s="29"/>
      <c r="F2149" s="135"/>
    </row>
    <row r="2150" spans="1:6" x14ac:dyDescent="0.25">
      <c r="A2150" s="21"/>
      <c r="B2150" s="168"/>
      <c r="C2150" s="28"/>
      <c r="D2150" s="29"/>
      <c r="E2150" s="29"/>
      <c r="F2150" s="135"/>
    </row>
    <row r="2151" spans="1:6" x14ac:dyDescent="0.25">
      <c r="A2151" s="21"/>
      <c r="B2151" s="168"/>
      <c r="C2151" s="28"/>
      <c r="D2151" s="29"/>
      <c r="E2151" s="29"/>
      <c r="F2151" s="135"/>
    </row>
    <row r="2152" spans="1:6" x14ac:dyDescent="0.25">
      <c r="A2152" s="21"/>
      <c r="B2152" s="168"/>
      <c r="C2152" s="28"/>
      <c r="D2152" s="29"/>
      <c r="E2152" s="29"/>
      <c r="F2152" s="135"/>
    </row>
    <row r="2153" spans="1:6" x14ac:dyDescent="0.25">
      <c r="A2153" s="21"/>
      <c r="B2153" s="168"/>
      <c r="C2153" s="28"/>
      <c r="D2153" s="29"/>
      <c r="E2153" s="29"/>
      <c r="F2153" s="135"/>
    </row>
    <row r="2154" spans="1:6" x14ac:dyDescent="0.25">
      <c r="A2154" s="21"/>
      <c r="B2154" s="168"/>
      <c r="C2154" s="28"/>
      <c r="D2154" s="29"/>
      <c r="E2154" s="29"/>
      <c r="F2154" s="135"/>
    </row>
    <row r="2155" spans="1:6" x14ac:dyDescent="0.25">
      <c r="A2155" s="21"/>
      <c r="B2155" s="168"/>
      <c r="C2155" s="28"/>
      <c r="D2155" s="29"/>
      <c r="E2155" s="29"/>
      <c r="F2155" s="135"/>
    </row>
    <row r="2156" spans="1:6" x14ac:dyDescent="0.25">
      <c r="A2156" s="21"/>
      <c r="B2156" s="168"/>
      <c r="C2156" s="28"/>
      <c r="D2156" s="29"/>
      <c r="E2156" s="29"/>
      <c r="F2156" s="135"/>
    </row>
    <row r="2157" spans="1:6" x14ac:dyDescent="0.25">
      <c r="A2157" s="21"/>
      <c r="B2157" s="168"/>
      <c r="C2157" s="28"/>
      <c r="D2157" s="29"/>
      <c r="E2157" s="29"/>
      <c r="F2157" s="135"/>
    </row>
    <row r="2158" spans="1:6" x14ac:dyDescent="0.25">
      <c r="A2158" s="21"/>
      <c r="B2158" s="168"/>
      <c r="C2158" s="28"/>
      <c r="D2158" s="29"/>
      <c r="E2158" s="29"/>
      <c r="F2158" s="135"/>
    </row>
    <row r="2159" spans="1:6" x14ac:dyDescent="0.25">
      <c r="A2159" s="21"/>
      <c r="B2159" s="168"/>
      <c r="C2159" s="28"/>
      <c r="D2159" s="29"/>
      <c r="E2159" s="29"/>
      <c r="F2159" s="135"/>
    </row>
    <row r="2160" spans="1:6" x14ac:dyDescent="0.25">
      <c r="A2160" s="21"/>
      <c r="B2160" s="168"/>
      <c r="C2160" s="28"/>
      <c r="D2160" s="29"/>
      <c r="E2160" s="29"/>
      <c r="F2160" s="135"/>
    </row>
    <row r="2161" spans="1:6" x14ac:dyDescent="0.25">
      <c r="A2161" s="21"/>
      <c r="B2161" s="168"/>
      <c r="C2161" s="28"/>
      <c r="D2161" s="29"/>
      <c r="E2161" s="29"/>
      <c r="F2161" s="135"/>
    </row>
    <row r="2162" spans="1:6" x14ac:dyDescent="0.25">
      <c r="A2162" s="21"/>
      <c r="B2162" s="168"/>
      <c r="C2162" s="28"/>
      <c r="D2162" s="29"/>
      <c r="E2162" s="29"/>
      <c r="F2162" s="135"/>
    </row>
    <row r="2163" spans="1:6" x14ac:dyDescent="0.25">
      <c r="A2163" s="21"/>
      <c r="B2163" s="168"/>
      <c r="C2163" s="28"/>
      <c r="D2163" s="29"/>
      <c r="E2163" s="29"/>
      <c r="F2163" s="135"/>
    </row>
    <row r="2164" spans="1:6" x14ac:dyDescent="0.25">
      <c r="A2164" s="21"/>
      <c r="B2164" s="168"/>
      <c r="C2164" s="28"/>
      <c r="D2164" s="29"/>
      <c r="E2164" s="29"/>
      <c r="F2164" s="135"/>
    </row>
    <row r="2165" spans="1:6" x14ac:dyDescent="0.25">
      <c r="A2165" s="21"/>
      <c r="B2165" s="168"/>
      <c r="C2165" s="28"/>
      <c r="D2165" s="29"/>
      <c r="E2165" s="29"/>
      <c r="F2165" s="135"/>
    </row>
    <row r="2166" spans="1:6" x14ac:dyDescent="0.25">
      <c r="A2166" s="21"/>
      <c r="B2166" s="168"/>
      <c r="C2166" s="28"/>
      <c r="D2166" s="29"/>
      <c r="E2166" s="29"/>
      <c r="F2166" s="135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topLeftCell="A47" zoomScale="90" zoomScaleNormal="75" zoomScaleSheetLayoutView="90" workbookViewId="0">
      <selection activeCell="K54" sqref="K54"/>
    </sheetView>
  </sheetViews>
  <sheetFormatPr defaultColWidth="9.28515625" defaultRowHeight="18.75" x14ac:dyDescent="0.2"/>
  <cols>
    <col min="1" max="1" width="80.42578125" style="5" customWidth="1"/>
    <col min="2" max="2" width="9.7109375" style="5" customWidth="1"/>
    <col min="3" max="3" width="9.42578125" style="5" customWidth="1"/>
    <col min="4" max="4" width="15.7109375" style="5" customWidth="1"/>
    <col min="5" max="5" width="16.5703125" style="157" customWidth="1"/>
    <col min="6" max="6" width="15.5703125" style="5" customWidth="1"/>
    <col min="7" max="16384" width="9.28515625" style="5"/>
  </cols>
  <sheetData>
    <row r="1" spans="1:8" s="705" customFormat="1" hidden="1" x14ac:dyDescent="0.2">
      <c r="E1" s="157"/>
    </row>
    <row r="2" spans="1:8" s="705" customFormat="1" ht="20.25" customHeight="1" x14ac:dyDescent="0.25">
      <c r="D2" s="722" t="s">
        <v>596</v>
      </c>
      <c r="E2" s="719"/>
      <c r="F2" s="719"/>
    </row>
    <row r="3" spans="1:8" s="705" customFormat="1" ht="122.25" customHeight="1" x14ac:dyDescent="0.2">
      <c r="D3" s="723" t="s">
        <v>829</v>
      </c>
      <c r="E3" s="723"/>
      <c r="F3" s="723"/>
    </row>
    <row r="4" spans="1:8" s="250" customFormat="1" ht="22.5" customHeight="1" x14ac:dyDescent="0.25">
      <c r="A4" s="681"/>
      <c r="B4" s="679"/>
      <c r="C4" s="679"/>
      <c r="D4" s="722" t="s">
        <v>830</v>
      </c>
      <c r="E4" s="719"/>
      <c r="F4" s="719"/>
    </row>
    <row r="5" spans="1:8" s="151" customFormat="1" ht="96" customHeight="1" x14ac:dyDescent="0.2">
      <c r="A5" s="681"/>
      <c r="B5" s="579"/>
      <c r="C5" s="579"/>
      <c r="D5" s="723" t="s">
        <v>828</v>
      </c>
      <c r="E5" s="724"/>
      <c r="F5" s="724"/>
    </row>
    <row r="6" spans="1:8" s="151" customFormat="1" ht="18.75" customHeight="1" x14ac:dyDescent="0.25">
      <c r="A6" s="681"/>
      <c r="B6" s="741"/>
      <c r="C6" s="742"/>
      <c r="D6" s="742"/>
      <c r="E6" s="742"/>
      <c r="F6" s="743"/>
    </row>
    <row r="7" spans="1:8" s="22" customFormat="1" ht="12.75" x14ac:dyDescent="0.2">
      <c r="A7" s="681"/>
      <c r="B7" s="681"/>
      <c r="C7" s="681"/>
      <c r="D7" s="730"/>
      <c r="E7" s="730"/>
      <c r="F7" s="681"/>
    </row>
    <row r="8" spans="1:8" s="250" customFormat="1" ht="12.75" x14ac:dyDescent="0.2">
      <c r="A8" s="681"/>
      <c r="B8" s="681"/>
      <c r="C8" s="681"/>
      <c r="D8" s="683"/>
      <c r="E8" s="683"/>
      <c r="F8" s="681"/>
    </row>
    <row r="9" spans="1:8" ht="78.75" customHeight="1" x14ac:dyDescent="0.2">
      <c r="A9" s="732" t="s">
        <v>788</v>
      </c>
      <c r="B9" s="732"/>
      <c r="C9" s="732"/>
      <c r="D9" s="719"/>
      <c r="E9" s="719"/>
      <c r="F9" s="719"/>
      <c r="G9" s="153"/>
      <c r="H9" s="153"/>
    </row>
    <row r="10" spans="1:8" ht="4.1500000000000004" hidden="1" customHeight="1" thickBot="1" x14ac:dyDescent="0.25">
      <c r="A10" s="6"/>
      <c r="B10" s="7"/>
      <c r="C10" s="7"/>
      <c r="E10" s="731"/>
      <c r="F10" s="731"/>
      <c r="G10" s="731"/>
      <c r="H10" s="731"/>
    </row>
    <row r="11" spans="1:8" s="23" customFormat="1" ht="27" customHeight="1" thickBot="1" x14ac:dyDescent="0.25">
      <c r="A11" s="6"/>
      <c r="B11" s="7"/>
      <c r="C11" s="7"/>
      <c r="F11" s="9" t="s">
        <v>149</v>
      </c>
      <c r="G11" s="150"/>
      <c r="H11" s="150"/>
    </row>
    <row r="12" spans="1:8" ht="35.1" customHeight="1" x14ac:dyDescent="0.2">
      <c r="A12" s="733" t="s">
        <v>72</v>
      </c>
      <c r="B12" s="735" t="s">
        <v>0</v>
      </c>
      <c r="C12" s="737" t="s">
        <v>20</v>
      </c>
      <c r="D12" s="739" t="s">
        <v>435</v>
      </c>
      <c r="E12" s="728" t="s">
        <v>616</v>
      </c>
      <c r="F12" s="728" t="s">
        <v>645</v>
      </c>
    </row>
    <row r="13" spans="1:8" ht="13.9" customHeight="1" thickBot="1" x14ac:dyDescent="0.25">
      <c r="A13" s="734"/>
      <c r="B13" s="736"/>
      <c r="C13" s="738"/>
      <c r="D13" s="740"/>
      <c r="E13" s="729"/>
      <c r="F13" s="729"/>
    </row>
    <row r="14" spans="1:8" ht="25.5" customHeight="1" thickBot="1" x14ac:dyDescent="0.25">
      <c r="A14" s="235">
        <v>1</v>
      </c>
      <c r="B14" s="236">
        <v>2</v>
      </c>
      <c r="C14" s="237">
        <v>3</v>
      </c>
      <c r="D14" s="234">
        <v>4</v>
      </c>
      <c r="E14" s="238">
        <v>5</v>
      </c>
      <c r="F14" s="234">
        <v>6</v>
      </c>
    </row>
    <row r="15" spans="1:8" ht="33" customHeight="1" x14ac:dyDescent="0.2">
      <c r="A15" s="355" t="s">
        <v>25</v>
      </c>
      <c r="B15" s="373" t="s">
        <v>29</v>
      </c>
      <c r="C15" s="374"/>
      <c r="D15" s="366">
        <f>D16+D17+D18+D19+D21+D22+D20</f>
        <v>478720.29999999993</v>
      </c>
      <c r="E15" s="366">
        <f>E16+E17+E18+E19+E21+E22+E20</f>
        <v>338051.4</v>
      </c>
      <c r="F15" s="366">
        <f>F16+F17+F18+F19+F21+F22+F20</f>
        <v>324465</v>
      </c>
    </row>
    <row r="16" spans="1:8" ht="45" customHeight="1" x14ac:dyDescent="0.2">
      <c r="A16" s="356" t="s">
        <v>53</v>
      </c>
      <c r="B16" s="216" t="s">
        <v>29</v>
      </c>
      <c r="C16" s="217" t="s">
        <v>30</v>
      </c>
      <c r="D16" s="367">
        <f>'Функц. 2025-2027'!F16</f>
        <v>9374.2999999999993</v>
      </c>
      <c r="E16" s="229">
        <f>'Функц. 2025-2027'!H16</f>
        <v>3451.3</v>
      </c>
      <c r="F16" s="229">
        <f>'Функц. 2025-2027'!J16</f>
        <v>3451.3</v>
      </c>
    </row>
    <row r="17" spans="1:6" ht="63.75" customHeight="1" x14ac:dyDescent="0.2">
      <c r="A17" s="356" t="s">
        <v>54</v>
      </c>
      <c r="B17" s="216" t="s">
        <v>29</v>
      </c>
      <c r="C17" s="217" t="s">
        <v>7</v>
      </c>
      <c r="D17" s="367">
        <f>'Функц. 2025-2027'!F23</f>
        <v>19070.3</v>
      </c>
      <c r="E17" s="229">
        <f>'Функц. 2025-2027'!H23</f>
        <v>16740.900000000001</v>
      </c>
      <c r="F17" s="229">
        <f>'Функц. 2025-2027'!J23</f>
        <v>16740.900000000001</v>
      </c>
    </row>
    <row r="18" spans="1:6" ht="62.25" customHeight="1" x14ac:dyDescent="0.2">
      <c r="A18" s="356" t="s">
        <v>705</v>
      </c>
      <c r="B18" s="216" t="s">
        <v>29</v>
      </c>
      <c r="C18" s="217" t="s">
        <v>49</v>
      </c>
      <c r="D18" s="367">
        <f>'Функц. 2025-2027'!F47</f>
        <v>127381.09999999999</v>
      </c>
      <c r="E18" s="244">
        <f>'Функц. 2025-2027'!H47</f>
        <v>100872</v>
      </c>
      <c r="F18" s="244">
        <f>'Функц. 2025-2027'!J47</f>
        <v>100785</v>
      </c>
    </row>
    <row r="19" spans="1:6" ht="46.5" customHeight="1" x14ac:dyDescent="0.2">
      <c r="A19" s="356" t="s">
        <v>73</v>
      </c>
      <c r="B19" s="216" t="s">
        <v>29</v>
      </c>
      <c r="C19" s="217" t="s">
        <v>95</v>
      </c>
      <c r="D19" s="367">
        <f>'Функц. 2025-2027'!F88</f>
        <v>43265.5</v>
      </c>
      <c r="E19" s="244">
        <f>'Функц. 2025-2027'!H88</f>
        <v>42805.3</v>
      </c>
      <c r="F19" s="244">
        <f>'Функц. 2025-2027'!J88</f>
        <v>43070</v>
      </c>
    </row>
    <row r="20" spans="1:6" s="414" customFormat="1" ht="46.5" customHeight="1" x14ac:dyDescent="0.2">
      <c r="A20" s="412" t="s">
        <v>592</v>
      </c>
      <c r="B20" s="411" t="s">
        <v>29</v>
      </c>
      <c r="C20" s="222" t="s">
        <v>8</v>
      </c>
      <c r="D20" s="367">
        <f>'Функц. 2025-2027'!F120</f>
        <v>6400</v>
      </c>
      <c r="E20" s="244">
        <f>'Функц. 2025-2027'!H120</f>
        <v>0</v>
      </c>
      <c r="F20" s="244">
        <f>'Функц. 2025-2027'!J120</f>
        <v>0</v>
      </c>
    </row>
    <row r="21" spans="1:6" ht="25.5" customHeight="1" x14ac:dyDescent="0.2">
      <c r="A21" s="356" t="s">
        <v>74</v>
      </c>
      <c r="B21" s="216" t="s">
        <v>29</v>
      </c>
      <c r="C21" s="217">
        <v>11</v>
      </c>
      <c r="D21" s="367">
        <f>'Функц. 2025-2027'!F125</f>
        <v>1000</v>
      </c>
      <c r="E21" s="244">
        <f>'Функц. 2025-2027'!H125</f>
        <v>0</v>
      </c>
      <c r="F21" s="244">
        <f>'Функц. 2025-2027'!J125</f>
        <v>0</v>
      </c>
    </row>
    <row r="22" spans="1:6" ht="28.5" customHeight="1" x14ac:dyDescent="0.2">
      <c r="A22" s="356" t="s">
        <v>152</v>
      </c>
      <c r="B22" s="216" t="s">
        <v>29</v>
      </c>
      <c r="C22" s="217">
        <v>13</v>
      </c>
      <c r="D22" s="367">
        <f>'Функц. 2025-2027'!F130</f>
        <v>272229.09999999998</v>
      </c>
      <c r="E22" s="244">
        <f>'Функц. 2025-2027'!H130</f>
        <v>174181.9</v>
      </c>
      <c r="F22" s="244">
        <f>'Функц. 2025-2027'!J130</f>
        <v>160417.79999999999</v>
      </c>
    </row>
    <row r="23" spans="1:6" ht="25.5" customHeight="1" x14ac:dyDescent="0.2">
      <c r="A23" s="357" t="s">
        <v>11</v>
      </c>
      <c r="B23" s="218" t="s">
        <v>30</v>
      </c>
      <c r="C23" s="215"/>
      <c r="D23" s="368">
        <f>D24+D25</f>
        <v>5293.4</v>
      </c>
      <c r="E23" s="228">
        <f>E24+E25</f>
        <v>5095.3</v>
      </c>
      <c r="F23" s="228">
        <f>F24+F25</f>
        <v>5267.1</v>
      </c>
    </row>
    <row r="24" spans="1:6" ht="23.25" customHeight="1" x14ac:dyDescent="0.2">
      <c r="A24" s="358" t="s">
        <v>75</v>
      </c>
      <c r="B24" s="216" t="s">
        <v>30</v>
      </c>
      <c r="C24" s="217" t="s">
        <v>7</v>
      </c>
      <c r="D24" s="367">
        <f>'Функц. 2025-2027'!F220</f>
        <v>4643.3999999999996</v>
      </c>
      <c r="E24" s="244">
        <f>'Функц. 2025-2027'!H220</f>
        <v>5021.3</v>
      </c>
      <c r="F24" s="244">
        <f>'Функц. 2025-2027'!J220</f>
        <v>5193.1000000000004</v>
      </c>
    </row>
    <row r="25" spans="1:6" ht="26.25" customHeight="1" x14ac:dyDescent="0.2">
      <c r="A25" s="356" t="s">
        <v>76</v>
      </c>
      <c r="B25" s="216" t="s">
        <v>30</v>
      </c>
      <c r="C25" s="217" t="s">
        <v>49</v>
      </c>
      <c r="D25" s="367">
        <f>'Функц. 2025-2027'!F227</f>
        <v>650</v>
      </c>
      <c r="E25" s="244">
        <f>'Функц. 2025-2027'!H227</f>
        <v>74</v>
      </c>
      <c r="F25" s="244">
        <f>'Функц. 2025-2027'!J227</f>
        <v>74</v>
      </c>
    </row>
    <row r="26" spans="1:6" ht="42" customHeight="1" x14ac:dyDescent="0.2">
      <c r="A26" s="357" t="s">
        <v>46</v>
      </c>
      <c r="B26" s="218" t="s">
        <v>7</v>
      </c>
      <c r="C26" s="215"/>
      <c r="D26" s="368">
        <f>D27+D29+D28</f>
        <v>51899</v>
      </c>
      <c r="E26" s="228">
        <f>E27+E29+E28</f>
        <v>24976.799999999999</v>
      </c>
      <c r="F26" s="228">
        <f>F27+F29+F28</f>
        <v>22943.199999999997</v>
      </c>
    </row>
    <row r="27" spans="1:6" ht="42.75" customHeight="1" x14ac:dyDescent="0.2">
      <c r="A27" s="356" t="s">
        <v>368</v>
      </c>
      <c r="B27" s="216" t="s">
        <v>7</v>
      </c>
      <c r="C27" s="217" t="s">
        <v>22</v>
      </c>
      <c r="D27" s="367">
        <f>'Функц. 2025-2027'!F235</f>
        <v>1278.4000000000001</v>
      </c>
      <c r="E27" s="244">
        <f>'Функц. 2025-2027'!H235</f>
        <v>1177</v>
      </c>
      <c r="F27" s="244">
        <f>'Функц. 2025-2027'!J235</f>
        <v>1177</v>
      </c>
    </row>
    <row r="28" spans="1:6" s="151" customFormat="1" ht="42.75" customHeight="1" x14ac:dyDescent="0.2">
      <c r="A28" s="359" t="s">
        <v>367</v>
      </c>
      <c r="B28" s="216" t="s">
        <v>7</v>
      </c>
      <c r="C28" s="217" t="s">
        <v>36</v>
      </c>
      <c r="D28" s="367">
        <f>'Функц. 2025-2027'!F250</f>
        <v>29276.799999999999</v>
      </c>
      <c r="E28" s="244">
        <f>'Функц. 2025-2027'!H250</f>
        <v>11681</v>
      </c>
      <c r="F28" s="244">
        <f>'Функц. 2025-2027'!J250</f>
        <v>11717</v>
      </c>
    </row>
    <row r="29" spans="1:6" ht="42.75" customHeight="1" x14ac:dyDescent="0.2">
      <c r="A29" s="356" t="s">
        <v>77</v>
      </c>
      <c r="B29" s="216" t="s">
        <v>7</v>
      </c>
      <c r="C29" s="217">
        <v>14</v>
      </c>
      <c r="D29" s="367">
        <f>'Функц. 2025-2027'!F288</f>
        <v>21343.8</v>
      </c>
      <c r="E29" s="244">
        <f>'Функц. 2025-2027'!H288</f>
        <v>12118.8</v>
      </c>
      <c r="F29" s="244">
        <f>'Функц. 2025-2027'!J288</f>
        <v>10049.199999999999</v>
      </c>
    </row>
    <row r="30" spans="1:6" ht="26.25" customHeight="1" x14ac:dyDescent="0.2">
      <c r="A30" s="357" t="s">
        <v>45</v>
      </c>
      <c r="B30" s="218" t="s">
        <v>49</v>
      </c>
      <c r="C30" s="215"/>
      <c r="D30" s="368">
        <f>D32+D35+D33+D34+D31</f>
        <v>145386.4</v>
      </c>
      <c r="E30" s="228">
        <f>E32+E35+E33+E34+E31</f>
        <v>134237.70000000001</v>
      </c>
      <c r="F30" s="228">
        <f>F32+F35+F33+F34+F31</f>
        <v>135586.9</v>
      </c>
    </row>
    <row r="31" spans="1:6" s="22" customFormat="1" ht="26.25" customHeight="1" x14ac:dyDescent="0.3">
      <c r="A31" s="360" t="s">
        <v>148</v>
      </c>
      <c r="B31" s="219" t="s">
        <v>49</v>
      </c>
      <c r="C31" s="220" t="s">
        <v>5</v>
      </c>
      <c r="D31" s="367">
        <f>'Функц. 2025-2027'!F305</f>
        <v>919</v>
      </c>
      <c r="E31" s="244">
        <f>'Функц. 2025-2027'!H305</f>
        <v>919</v>
      </c>
      <c r="F31" s="244">
        <f>'Функц. 2025-2027'!J305</f>
        <v>919</v>
      </c>
    </row>
    <row r="32" spans="1:6" ht="27.75" customHeight="1" x14ac:dyDescent="0.2">
      <c r="A32" s="356" t="s">
        <v>78</v>
      </c>
      <c r="B32" s="216" t="s">
        <v>49</v>
      </c>
      <c r="C32" s="217" t="s">
        <v>16</v>
      </c>
      <c r="D32" s="367">
        <f>'Функц. 2025-2027'!F314</f>
        <v>34483.700000000004</v>
      </c>
      <c r="E32" s="244">
        <f>'Функц. 2025-2027'!H314</f>
        <v>30338.7</v>
      </c>
      <c r="F32" s="244">
        <f>'Функц. 2025-2027'!J314</f>
        <v>30337.899999999998</v>
      </c>
    </row>
    <row r="33" spans="1:6" ht="24" customHeight="1" x14ac:dyDescent="0.2">
      <c r="A33" s="358" t="s">
        <v>79</v>
      </c>
      <c r="B33" s="216" t="s">
        <v>49</v>
      </c>
      <c r="C33" s="217" t="s">
        <v>22</v>
      </c>
      <c r="D33" s="367">
        <f>'Функц. 2025-2027'!F329</f>
        <v>105177</v>
      </c>
      <c r="E33" s="244">
        <f>'Функц. 2025-2027'!H329</f>
        <v>99600</v>
      </c>
      <c r="F33" s="244">
        <f>'Функц. 2025-2027'!J329</f>
        <v>103953</v>
      </c>
    </row>
    <row r="34" spans="1:6" ht="24" customHeight="1" x14ac:dyDescent="0.2">
      <c r="A34" s="358" t="s">
        <v>98</v>
      </c>
      <c r="B34" s="216" t="s">
        <v>49</v>
      </c>
      <c r="C34" s="217">
        <v>10</v>
      </c>
      <c r="D34" s="367">
        <f>'Функц. 2025-2027'!F352</f>
        <v>3822</v>
      </c>
      <c r="E34" s="244">
        <f>'Функц. 2025-2027'!H352</f>
        <v>3003</v>
      </c>
      <c r="F34" s="244">
        <f>'Функц. 2025-2027'!J352</f>
        <v>0</v>
      </c>
    </row>
    <row r="35" spans="1:6" ht="26.25" customHeight="1" x14ac:dyDescent="0.2">
      <c r="A35" s="356" t="s">
        <v>80</v>
      </c>
      <c r="B35" s="216" t="s">
        <v>49</v>
      </c>
      <c r="C35" s="217">
        <v>12</v>
      </c>
      <c r="D35" s="367">
        <f>'Функц. 2025-2027'!F367</f>
        <v>984.7</v>
      </c>
      <c r="E35" s="244">
        <f>'Функц. 2025-2027'!H367</f>
        <v>377</v>
      </c>
      <c r="F35" s="244">
        <f>'Функц. 2025-2027'!J367</f>
        <v>377</v>
      </c>
    </row>
    <row r="36" spans="1:6" ht="31.5" customHeight="1" x14ac:dyDescent="0.2">
      <c r="A36" s="357" t="s">
        <v>3</v>
      </c>
      <c r="B36" s="218" t="s">
        <v>5</v>
      </c>
      <c r="C36" s="215"/>
      <c r="D36" s="368">
        <f>D37+D39+D40+D38</f>
        <v>1927237.4000000001</v>
      </c>
      <c r="E36" s="228">
        <f>E37+E39+E40+E38</f>
        <v>1047869.0999999999</v>
      </c>
      <c r="F36" s="228">
        <f>F37+F39+F40+F38</f>
        <v>970699.89999999991</v>
      </c>
    </row>
    <row r="37" spans="1:6" ht="24.75" customHeight="1" x14ac:dyDescent="0.2">
      <c r="A37" s="356" t="s">
        <v>81</v>
      </c>
      <c r="B37" s="216" t="s">
        <v>5</v>
      </c>
      <c r="C37" s="217" t="s">
        <v>29</v>
      </c>
      <c r="D37" s="367">
        <f>'Функц. 2025-2027'!F378</f>
        <v>27354</v>
      </c>
      <c r="E37" s="244">
        <f>'Функц. 2025-2027'!H378</f>
        <v>8300</v>
      </c>
      <c r="F37" s="244">
        <f>'Функц. 2025-2027'!J378</f>
        <v>8300</v>
      </c>
    </row>
    <row r="38" spans="1:6" s="142" customFormat="1" ht="30.75" customHeight="1" x14ac:dyDescent="0.2">
      <c r="A38" s="359" t="s">
        <v>324</v>
      </c>
      <c r="B38" s="221" t="s">
        <v>5</v>
      </c>
      <c r="C38" s="222" t="s">
        <v>30</v>
      </c>
      <c r="D38" s="367">
        <f>'Функц. 2025-2027'!F397</f>
        <v>961650.8</v>
      </c>
      <c r="E38" s="443">
        <f>'Функц. 2025-2027'!H397</f>
        <v>579541.49999999988</v>
      </c>
      <c r="F38" s="443">
        <f>'Функц. 2025-2027'!J397</f>
        <v>240743.3</v>
      </c>
    </row>
    <row r="39" spans="1:6" ht="32.25" customHeight="1" x14ac:dyDescent="0.2">
      <c r="A39" s="356" t="s">
        <v>82</v>
      </c>
      <c r="B39" s="216" t="s">
        <v>5</v>
      </c>
      <c r="C39" s="217" t="s">
        <v>7</v>
      </c>
      <c r="D39" s="367">
        <f>'Функц. 2025-2027'!F445</f>
        <v>907279.8</v>
      </c>
      <c r="E39" s="244">
        <f>'Функц. 2025-2027'!H445</f>
        <v>429817.8</v>
      </c>
      <c r="F39" s="244">
        <f>'Функц. 2025-2027'!J445</f>
        <v>691441.2</v>
      </c>
    </row>
    <row r="40" spans="1:6" ht="31.5" customHeight="1" thickBot="1" x14ac:dyDescent="0.25">
      <c r="A40" s="356" t="s">
        <v>83</v>
      </c>
      <c r="B40" s="216" t="s">
        <v>5</v>
      </c>
      <c r="C40" s="217" t="s">
        <v>5</v>
      </c>
      <c r="D40" s="367">
        <f>'Функц. 2025-2027'!F525</f>
        <v>30952.800000000003</v>
      </c>
      <c r="E40" s="244">
        <f>'Функц. 2025-2027'!H525</f>
        <v>30209.8</v>
      </c>
      <c r="F40" s="244">
        <f>'Функц. 2025-2027'!J525</f>
        <v>30215.399999999998</v>
      </c>
    </row>
    <row r="41" spans="1:6" s="624" customFormat="1" ht="31.5" customHeight="1" thickBot="1" x14ac:dyDescent="0.25">
      <c r="A41" s="361">
        <v>1</v>
      </c>
      <c r="B41" s="232">
        <v>2</v>
      </c>
      <c r="C41" s="233">
        <v>3</v>
      </c>
      <c r="D41" s="369">
        <v>4</v>
      </c>
      <c r="E41" s="248">
        <v>5</v>
      </c>
      <c r="F41" s="248">
        <v>6</v>
      </c>
    </row>
    <row r="42" spans="1:6" s="151" customFormat="1" ht="24.75" customHeight="1" x14ac:dyDescent="0.3">
      <c r="A42" s="362" t="s">
        <v>39</v>
      </c>
      <c r="B42" s="223" t="s">
        <v>95</v>
      </c>
      <c r="C42" s="224"/>
      <c r="D42" s="368">
        <f>D43+D44</f>
        <v>825104</v>
      </c>
      <c r="E42" s="368">
        <f>E43+E44</f>
        <v>134</v>
      </c>
      <c r="F42" s="368">
        <f>F43+F44</f>
        <v>134</v>
      </c>
    </row>
    <row r="43" spans="1:6" s="408" customFormat="1" ht="24.75" customHeight="1" x14ac:dyDescent="0.2">
      <c r="A43" s="412" t="s">
        <v>591</v>
      </c>
      <c r="B43" s="410" t="s">
        <v>95</v>
      </c>
      <c r="C43" s="411" t="s">
        <v>30</v>
      </c>
      <c r="D43" s="413">
        <f>'Функц. 2025-2027'!F555</f>
        <v>824970</v>
      </c>
      <c r="E43" s="413">
        <f>'Функц. 2025-2027'!H555</f>
        <v>0</v>
      </c>
      <c r="F43" s="413">
        <f>'Функц. 2025-2027'!J555</f>
        <v>0</v>
      </c>
    </row>
    <row r="44" spans="1:6" s="529" customFormat="1" ht="24.75" customHeight="1" x14ac:dyDescent="0.3">
      <c r="A44" s="534" t="s">
        <v>692</v>
      </c>
      <c r="B44" s="535" t="s">
        <v>95</v>
      </c>
      <c r="C44" s="536" t="s">
        <v>5</v>
      </c>
      <c r="D44" s="533">
        <f>'Функц. 2025-2027'!F565</f>
        <v>134</v>
      </c>
      <c r="E44" s="413">
        <f>'Функц. 2025-2027'!H565</f>
        <v>134</v>
      </c>
      <c r="F44" s="413">
        <f>'Функц. 2025-2027'!J565</f>
        <v>134</v>
      </c>
    </row>
    <row r="45" spans="1:6" ht="26.25" customHeight="1" x14ac:dyDescent="0.2">
      <c r="A45" s="363" t="s">
        <v>4</v>
      </c>
      <c r="B45" s="218" t="s">
        <v>8</v>
      </c>
      <c r="C45" s="225"/>
      <c r="D45" s="370">
        <f>D46+D47+D49+D50+D48</f>
        <v>1573607.3000000003</v>
      </c>
      <c r="E45" s="252">
        <f>E46+E47+E49+E50+E48</f>
        <v>1344677</v>
      </c>
      <c r="F45" s="252">
        <f>F46+F47+F49+F50+F48</f>
        <v>1341475.8</v>
      </c>
    </row>
    <row r="46" spans="1:6" ht="30" customHeight="1" x14ac:dyDescent="0.2">
      <c r="A46" s="356" t="s">
        <v>84</v>
      </c>
      <c r="B46" s="226" t="s">
        <v>8</v>
      </c>
      <c r="C46" s="217" t="s">
        <v>29</v>
      </c>
      <c r="D46" s="367">
        <f>'Функц. 2025-2027'!F573</f>
        <v>479897.8</v>
      </c>
      <c r="E46" s="229">
        <f>'Функц. 2025-2027'!H573</f>
        <v>461823.3</v>
      </c>
      <c r="F46" s="229">
        <f>'Функц. 2025-2027'!J573</f>
        <v>467723.5</v>
      </c>
    </row>
    <row r="47" spans="1:6" ht="24.75" customHeight="1" x14ac:dyDescent="0.2">
      <c r="A47" s="356" t="s">
        <v>85</v>
      </c>
      <c r="B47" s="226" t="s">
        <v>8</v>
      </c>
      <c r="C47" s="217" t="s">
        <v>30</v>
      </c>
      <c r="D47" s="371">
        <f>'Функц. 2025-2027'!F597</f>
        <v>897446.70000000019</v>
      </c>
      <c r="E47" s="230">
        <f>'Функц. 2025-2027'!H597</f>
        <v>727748.5</v>
      </c>
      <c r="F47" s="230">
        <f>'Функц. 2025-2027'!J597</f>
        <v>716115.5</v>
      </c>
    </row>
    <row r="48" spans="1:6" ht="27.75" customHeight="1" x14ac:dyDescent="0.2">
      <c r="A48" s="356" t="s">
        <v>147</v>
      </c>
      <c r="B48" s="226" t="s">
        <v>8</v>
      </c>
      <c r="C48" s="217" t="s">
        <v>7</v>
      </c>
      <c r="D48" s="367">
        <f>'Функц. 2025-2027'!F660</f>
        <v>158670.40000000002</v>
      </c>
      <c r="E48" s="244">
        <f>'Функц. 2025-2027'!H660</f>
        <v>119938.2</v>
      </c>
      <c r="F48" s="244">
        <f>'Функц. 2025-2027'!J660</f>
        <v>122324.3</v>
      </c>
    </row>
    <row r="49" spans="1:6" ht="25.5" customHeight="1" x14ac:dyDescent="0.2">
      <c r="A49" s="356" t="s">
        <v>133</v>
      </c>
      <c r="B49" s="216" t="s">
        <v>8</v>
      </c>
      <c r="C49" s="217" t="s">
        <v>8</v>
      </c>
      <c r="D49" s="367">
        <f>'Функц. 2025-2027'!F693</f>
        <v>3026.2999999999997</v>
      </c>
      <c r="E49" s="244">
        <f>'Функц. 2025-2027'!H693</f>
        <v>2157.9</v>
      </c>
      <c r="F49" s="244">
        <f>'Функц. 2025-2027'!J693</f>
        <v>2246.4</v>
      </c>
    </row>
    <row r="50" spans="1:6" ht="28.5" customHeight="1" x14ac:dyDescent="0.2">
      <c r="A50" s="356" t="s">
        <v>86</v>
      </c>
      <c r="B50" s="216" t="s">
        <v>8</v>
      </c>
      <c r="C50" s="217" t="s">
        <v>22</v>
      </c>
      <c r="D50" s="367">
        <f>'Функц. 2025-2027'!F717</f>
        <v>34566.100000000006</v>
      </c>
      <c r="E50" s="244">
        <f>'Функц. 2025-2027'!H717</f>
        <v>33009.100000000006</v>
      </c>
      <c r="F50" s="244">
        <f>'Функц. 2025-2027'!J717</f>
        <v>33066.100000000006</v>
      </c>
    </row>
    <row r="51" spans="1:6" ht="37.35" customHeight="1" x14ac:dyDescent="0.2">
      <c r="A51" s="357" t="s">
        <v>21</v>
      </c>
      <c r="B51" s="218" t="s">
        <v>16</v>
      </c>
      <c r="C51" s="225"/>
      <c r="D51" s="368">
        <f>D52</f>
        <v>204945.09999999998</v>
      </c>
      <c r="E51" s="228">
        <f>E52</f>
        <v>168096</v>
      </c>
      <c r="F51" s="228">
        <f>F52</f>
        <v>153265.90000000002</v>
      </c>
    </row>
    <row r="52" spans="1:6" ht="27.75" customHeight="1" x14ac:dyDescent="0.2">
      <c r="A52" s="356" t="s">
        <v>87</v>
      </c>
      <c r="B52" s="216" t="s">
        <v>16</v>
      </c>
      <c r="C52" s="217" t="s">
        <v>29</v>
      </c>
      <c r="D52" s="367">
        <f>'Функц. 2025-2027'!F755</f>
        <v>204945.09999999998</v>
      </c>
      <c r="E52" s="244">
        <f>'Функц. 2025-2027'!H755</f>
        <v>168096</v>
      </c>
      <c r="F52" s="244">
        <f>'Функц. 2025-2027'!J755</f>
        <v>153265.90000000002</v>
      </c>
    </row>
    <row r="53" spans="1:6" s="624" customFormat="1" ht="27.75" customHeight="1" x14ac:dyDescent="0.2">
      <c r="A53" s="625" t="s">
        <v>762</v>
      </c>
      <c r="B53" s="627" t="s">
        <v>22</v>
      </c>
      <c r="C53" s="628"/>
      <c r="D53" s="368">
        <f>D54</f>
        <v>650</v>
      </c>
      <c r="E53" s="368">
        <f t="shared" ref="E53:F53" si="0">E54</f>
        <v>0</v>
      </c>
      <c r="F53" s="368">
        <f t="shared" si="0"/>
        <v>0</v>
      </c>
    </row>
    <row r="54" spans="1:6" s="624" customFormat="1" ht="27.75" customHeight="1" x14ac:dyDescent="0.2">
      <c r="A54" s="626" t="s">
        <v>763</v>
      </c>
      <c r="B54" s="629" t="s">
        <v>22</v>
      </c>
      <c r="C54" s="630" t="s">
        <v>22</v>
      </c>
      <c r="D54" s="367">
        <f>'Функц. 2025-2027'!F811</f>
        <v>650</v>
      </c>
      <c r="E54" s="443">
        <f>'Функц. 2025-2027'!H811</f>
        <v>0</v>
      </c>
      <c r="F54" s="443">
        <f>'Функц. 2025-2027'!J817</f>
        <v>0</v>
      </c>
    </row>
    <row r="55" spans="1:6" ht="28.5" customHeight="1" x14ac:dyDescent="0.2">
      <c r="A55" s="357" t="s">
        <v>94</v>
      </c>
      <c r="B55" s="218" t="s">
        <v>36</v>
      </c>
      <c r="C55" s="225"/>
      <c r="D55" s="368">
        <f>D56+D59+D58+D57</f>
        <v>55344.3</v>
      </c>
      <c r="E55" s="228">
        <f>E56+E59+E58+E57</f>
        <v>56773.4</v>
      </c>
      <c r="F55" s="228">
        <f>F56+F59+F58+F57</f>
        <v>54173.5</v>
      </c>
    </row>
    <row r="56" spans="1:6" ht="20.25" customHeight="1" x14ac:dyDescent="0.2">
      <c r="A56" s="356" t="s">
        <v>88</v>
      </c>
      <c r="B56" s="216">
        <v>10</v>
      </c>
      <c r="C56" s="217" t="s">
        <v>29</v>
      </c>
      <c r="D56" s="367">
        <f>'Функц. 2025-2027'!F819</f>
        <v>9007</v>
      </c>
      <c r="E56" s="244">
        <f>'Функц. 2025-2027'!H819</f>
        <v>9007</v>
      </c>
      <c r="F56" s="244">
        <f>'Функц. 2025-2027'!J819</f>
        <v>9007</v>
      </c>
    </row>
    <row r="57" spans="1:6" s="287" customFormat="1" ht="20.25" customHeight="1" x14ac:dyDescent="0.3">
      <c r="A57" s="288" t="s">
        <v>458</v>
      </c>
      <c r="B57" s="221">
        <v>10</v>
      </c>
      <c r="C57" s="222" t="s">
        <v>7</v>
      </c>
      <c r="D57" s="367">
        <f>'Функц. 2025-2027'!F826</f>
        <v>331</v>
      </c>
      <c r="E57" s="244">
        <f>'Функц. 2025-2027'!H826</f>
        <v>2990</v>
      </c>
      <c r="F57" s="244">
        <f>'Функц. 2025-2027'!J826</f>
        <v>0</v>
      </c>
    </row>
    <row r="58" spans="1:6" ht="27.75" customHeight="1" x14ac:dyDescent="0.2">
      <c r="A58" s="356" t="s">
        <v>89</v>
      </c>
      <c r="B58" s="216">
        <v>10</v>
      </c>
      <c r="C58" s="217" t="s">
        <v>49</v>
      </c>
      <c r="D58" s="367">
        <f>'Функц. 2025-2027'!F837</f>
        <v>45866.3</v>
      </c>
      <c r="E58" s="244">
        <f>'Функц. 2025-2027'!H837</f>
        <v>44636.4</v>
      </c>
      <c r="F58" s="244">
        <f>'Функц. 2025-2027'!J837</f>
        <v>45026.5</v>
      </c>
    </row>
    <row r="59" spans="1:6" ht="28.5" customHeight="1" x14ac:dyDescent="0.2">
      <c r="A59" s="356" t="s">
        <v>90</v>
      </c>
      <c r="B59" s="216">
        <v>10</v>
      </c>
      <c r="C59" s="217" t="s">
        <v>95</v>
      </c>
      <c r="D59" s="367">
        <f>'Функц. 2025-2027'!F864</f>
        <v>140</v>
      </c>
      <c r="E59" s="244">
        <f>'Функц. 2025-2027'!H864</f>
        <v>140</v>
      </c>
      <c r="F59" s="244">
        <f>'Функц. 2025-2027'!J864</f>
        <v>140</v>
      </c>
    </row>
    <row r="60" spans="1:6" ht="34.35" customHeight="1" x14ac:dyDescent="0.2">
      <c r="A60" s="357" t="s">
        <v>13</v>
      </c>
      <c r="B60" s="227">
        <v>11</v>
      </c>
      <c r="C60" s="215"/>
      <c r="D60" s="368">
        <f>D61+D62</f>
        <v>136390.6</v>
      </c>
      <c r="E60" s="368">
        <f>E61+E62</f>
        <v>124375.9</v>
      </c>
      <c r="F60" s="368">
        <f>F61+F62</f>
        <v>127463.3</v>
      </c>
    </row>
    <row r="61" spans="1:6" ht="28.5" customHeight="1" x14ac:dyDescent="0.2">
      <c r="A61" s="358" t="s">
        <v>91</v>
      </c>
      <c r="B61" s="216">
        <v>11</v>
      </c>
      <c r="C61" s="217" t="s">
        <v>30</v>
      </c>
      <c r="D61" s="367">
        <f>'Функц. 2025-2027'!F875</f>
        <v>10724.5</v>
      </c>
      <c r="E61" s="244">
        <f>'Функц. 2025-2027'!H875</f>
        <v>3632.9</v>
      </c>
      <c r="F61" s="244">
        <f>'Функц. 2025-2027'!J875</f>
        <v>5239.3</v>
      </c>
    </row>
    <row r="62" spans="1:6" s="423" customFormat="1" ht="28.5" customHeight="1" x14ac:dyDescent="0.2">
      <c r="A62" s="358" t="s">
        <v>600</v>
      </c>
      <c r="B62" s="216">
        <v>11</v>
      </c>
      <c r="C62" s="217" t="s">
        <v>7</v>
      </c>
      <c r="D62" s="367">
        <f>'Функц. 2025-2027'!F889</f>
        <v>125666.1</v>
      </c>
      <c r="E62" s="244">
        <f>'Функц. 2025-2027'!H889</f>
        <v>120743</v>
      </c>
      <c r="F62" s="244">
        <f>'Функц. 2025-2027'!J889</f>
        <v>122224</v>
      </c>
    </row>
    <row r="63" spans="1:6" ht="36.6" customHeight="1" x14ac:dyDescent="0.2">
      <c r="A63" s="357" t="s">
        <v>437</v>
      </c>
      <c r="B63" s="227">
        <v>13</v>
      </c>
      <c r="C63" s="215"/>
      <c r="D63" s="368">
        <f>D64</f>
        <v>4534.5</v>
      </c>
      <c r="E63" s="228">
        <f>E64</f>
        <v>40146.5</v>
      </c>
      <c r="F63" s="228">
        <f>F64</f>
        <v>53573.599999999999</v>
      </c>
    </row>
    <row r="64" spans="1:6" ht="39.6" customHeight="1" thickBot="1" x14ac:dyDescent="0.25">
      <c r="A64" s="364" t="s">
        <v>438</v>
      </c>
      <c r="B64" s="239">
        <v>13</v>
      </c>
      <c r="C64" s="240" t="s">
        <v>29</v>
      </c>
      <c r="D64" s="372">
        <f>'Функц. 2025-2027'!F898</f>
        <v>4534.5</v>
      </c>
      <c r="E64" s="245">
        <f>'Функц. 2025-2027'!H903</f>
        <v>40146.5</v>
      </c>
      <c r="F64" s="245">
        <f>'Функц. 2025-2027'!J903</f>
        <v>53573.599999999999</v>
      </c>
    </row>
    <row r="65" spans="1:6" ht="35.1" customHeight="1" thickBot="1" x14ac:dyDescent="0.25">
      <c r="A65" s="365" t="s">
        <v>56</v>
      </c>
      <c r="B65" s="241"/>
      <c r="C65" s="242"/>
      <c r="D65" s="243">
        <f>D63+D60+D55+D51+D45+D36+D30+D26+D23+D15+D42+D53</f>
        <v>5409112.2999999998</v>
      </c>
      <c r="E65" s="442">
        <f t="shared" ref="E65:F65" si="1">E63+E60+E55+E51+E45+E36+E30+E26+E23+E15+E42+E53</f>
        <v>3284433.0999999996</v>
      </c>
      <c r="F65" s="442">
        <f t="shared" si="1"/>
        <v>3189048.2</v>
      </c>
    </row>
  </sheetData>
  <mergeCells count="14">
    <mergeCell ref="D2:F2"/>
    <mergeCell ref="D3:F3"/>
    <mergeCell ref="D4:F4"/>
    <mergeCell ref="D5:F5"/>
    <mergeCell ref="B6:F6"/>
    <mergeCell ref="F12:F13"/>
    <mergeCell ref="D7:E7"/>
    <mergeCell ref="E10:H10"/>
    <mergeCell ref="A9:F9"/>
    <mergeCell ref="A12:A13"/>
    <mergeCell ref="B12:B13"/>
    <mergeCell ref="C12:C13"/>
    <mergeCell ref="D12:D13"/>
    <mergeCell ref="E12:E13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0"/>
  <sheetViews>
    <sheetView view="pageBreakPreview" topLeftCell="X2" zoomScaleNormal="100" zoomScaleSheetLayoutView="100" workbookViewId="0">
      <selection activeCell="AH116" sqref="AH116"/>
    </sheetView>
  </sheetViews>
  <sheetFormatPr defaultColWidth="9.28515625" defaultRowHeight="16.5" x14ac:dyDescent="0.25"/>
  <cols>
    <col min="1" max="1" width="77.28515625" style="16" hidden="1" customWidth="1"/>
    <col min="2" max="2" width="12.42578125" style="33" hidden="1" customWidth="1"/>
    <col min="3" max="3" width="7" style="17" hidden="1" customWidth="1"/>
    <col min="4" max="4" width="6.5703125" style="17" hidden="1" customWidth="1"/>
    <col min="5" max="5" width="12.28515625" style="17" hidden="1" customWidth="1"/>
    <col min="6" max="6" width="6.42578125" style="17" hidden="1" customWidth="1"/>
    <col min="7" max="7" width="12.42578125" style="17" hidden="1" customWidth="1"/>
    <col min="8" max="8" width="2.28515625" style="34" hidden="1" customWidth="1"/>
    <col min="9" max="9" width="12.28515625" style="35" hidden="1" customWidth="1"/>
    <col min="10" max="10" width="11.7109375" style="35" hidden="1" customWidth="1"/>
    <col min="11" max="11" width="14.42578125" style="35" hidden="1" customWidth="1"/>
    <col min="12" max="12" width="12.28515625" style="35" hidden="1" customWidth="1"/>
    <col min="13" max="13" width="13.5703125" style="35" hidden="1" customWidth="1"/>
    <col min="14" max="14" width="9" style="35" hidden="1" customWidth="1"/>
    <col min="15" max="15" width="11.42578125" style="36" hidden="1" customWidth="1"/>
    <col min="16" max="16" width="13.5703125" style="37" hidden="1" customWidth="1"/>
    <col min="17" max="17" width="11.28515625" style="3" hidden="1" customWidth="1"/>
    <col min="18" max="18" width="14.42578125" style="38" hidden="1" customWidth="1"/>
    <col min="19" max="19" width="9.28515625" style="39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40" hidden="1" customWidth="1"/>
    <col min="24" max="24" width="94" style="12" customWidth="1"/>
    <col min="25" max="25" width="10.5703125" style="16" customWidth="1"/>
    <col min="26" max="26" width="7" style="19" customWidth="1"/>
    <col min="27" max="27" width="6.5703125" style="19" customWidth="1"/>
    <col min="28" max="28" width="16.7109375" style="20" customWidth="1"/>
    <col min="29" max="29" width="6.42578125" style="19" customWidth="1"/>
    <col min="30" max="34" width="15.85546875" style="18" customWidth="1"/>
    <col min="35" max="35" width="13.28515625" style="3" customWidth="1"/>
    <col min="36" max="16384" width="9.28515625" style="3"/>
  </cols>
  <sheetData>
    <row r="1" spans="1:38" hidden="1" x14ac:dyDescent="0.25">
      <c r="AG1" s="249"/>
      <c r="AH1" s="249"/>
    </row>
    <row r="2" spans="1:38" ht="18.75" customHeight="1" x14ac:dyDescent="0.25">
      <c r="X2" s="706"/>
      <c r="AD2" s="722" t="s">
        <v>593</v>
      </c>
      <c r="AE2" s="719"/>
      <c r="AF2" s="719"/>
      <c r="AG2" s="703"/>
      <c r="AH2" s="703"/>
    </row>
    <row r="3" spans="1:38" ht="126.75" customHeight="1" x14ac:dyDescent="0.25">
      <c r="X3" s="706"/>
      <c r="AD3" s="723" t="s">
        <v>832</v>
      </c>
      <c r="AE3" s="723"/>
      <c r="AF3" s="723"/>
      <c r="AG3" s="703"/>
      <c r="AH3" s="703"/>
    </row>
    <row r="4" spans="1:38" ht="14.25" customHeight="1" x14ac:dyDescent="0.25">
      <c r="X4" s="706"/>
      <c r="AD4" s="707"/>
      <c r="AE4" s="704"/>
      <c r="AF4" s="704"/>
      <c r="AG4" s="703"/>
      <c r="AH4" s="703"/>
    </row>
    <row r="5" spans="1:38" ht="15.75" x14ac:dyDescent="0.25">
      <c r="AB5" s="631"/>
      <c r="AC5" s="631"/>
      <c r="AD5" s="722" t="s">
        <v>827</v>
      </c>
      <c r="AE5" s="719"/>
      <c r="AF5" s="719"/>
      <c r="AG5" s="434"/>
      <c r="AH5" s="434"/>
    </row>
    <row r="6" spans="1:38" ht="116.25" customHeight="1" x14ac:dyDescent="0.25">
      <c r="AB6" s="445"/>
      <c r="AC6" s="579"/>
      <c r="AD6" s="723" t="s">
        <v>828</v>
      </c>
      <c r="AE6" s="724"/>
      <c r="AF6" s="724"/>
      <c r="AG6" s="434"/>
      <c r="AH6" s="434"/>
      <c r="AI6" s="750"/>
      <c r="AJ6" s="750"/>
      <c r="AK6" s="750"/>
      <c r="AL6" s="750"/>
    </row>
    <row r="7" spans="1:38" ht="15.75" x14ac:dyDescent="0.25">
      <c r="AB7" s="446"/>
      <c r="AC7" s="446"/>
      <c r="AD7" s="446"/>
      <c r="AE7" s="446"/>
      <c r="AF7" s="446"/>
      <c r="AG7" s="434"/>
      <c r="AH7" s="434"/>
      <c r="AI7" s="750"/>
      <c r="AJ7" s="750"/>
      <c r="AK7" s="750"/>
      <c r="AL7" s="750"/>
    </row>
    <row r="8" spans="1:38" s="44" customFormat="1" ht="58.9" customHeight="1" x14ac:dyDescent="0.3">
      <c r="A8" s="751"/>
      <c r="B8" s="752"/>
      <c r="C8" s="752"/>
      <c r="D8" s="752"/>
      <c r="E8" s="752"/>
      <c r="F8" s="752"/>
      <c r="G8" s="752"/>
      <c r="H8" s="752"/>
      <c r="I8" s="752"/>
      <c r="J8" s="752"/>
      <c r="K8" s="752"/>
      <c r="L8" s="752"/>
      <c r="M8" s="752"/>
      <c r="N8" s="752"/>
      <c r="O8" s="752"/>
      <c r="P8" s="752"/>
      <c r="Q8" s="752"/>
      <c r="R8" s="752"/>
      <c r="S8" s="752"/>
      <c r="T8" s="752"/>
      <c r="U8" s="43"/>
      <c r="W8" s="43"/>
      <c r="X8" s="753" t="s">
        <v>785</v>
      </c>
      <c r="Y8" s="753"/>
      <c r="Z8" s="718"/>
      <c r="AA8" s="718"/>
      <c r="AB8" s="718"/>
      <c r="AC8" s="718"/>
      <c r="AD8" s="754"/>
      <c r="AE8" s="754"/>
      <c r="AF8" s="719"/>
      <c r="AG8" s="203"/>
      <c r="AH8" s="203"/>
      <c r="AI8" s="45"/>
      <c r="AJ8" s="746"/>
      <c r="AK8" s="717"/>
      <c r="AL8" s="717"/>
    </row>
    <row r="9" spans="1:38" s="44" customFormat="1" ht="21" thickBot="1" x14ac:dyDescent="0.35">
      <c r="A9" s="751"/>
      <c r="B9" s="752"/>
      <c r="C9" s="752"/>
      <c r="D9" s="752"/>
      <c r="E9" s="752"/>
      <c r="F9" s="752"/>
      <c r="G9" s="752"/>
      <c r="H9" s="752"/>
      <c r="I9" s="752"/>
      <c r="J9" s="752"/>
      <c r="K9" s="752"/>
      <c r="L9" s="752"/>
      <c r="M9" s="752"/>
      <c r="N9" s="752"/>
      <c r="O9" s="752"/>
      <c r="P9" s="752"/>
      <c r="Q9" s="752"/>
      <c r="R9" s="752"/>
      <c r="S9" s="752"/>
      <c r="T9" s="752"/>
      <c r="U9" s="46"/>
      <c r="V9" s="45"/>
      <c r="W9" s="45"/>
      <c r="X9" s="753"/>
      <c r="Y9" s="753"/>
      <c r="Z9" s="753"/>
      <c r="AA9" s="753"/>
      <c r="AB9" s="753"/>
      <c r="AC9" s="753"/>
      <c r="AD9" s="144"/>
      <c r="AF9" s="424" t="s">
        <v>608</v>
      </c>
      <c r="AJ9" s="748"/>
      <c r="AK9" s="749"/>
      <c r="AL9" s="749"/>
    </row>
    <row r="10" spans="1:38" ht="66" customHeight="1" x14ac:dyDescent="0.25">
      <c r="A10" s="50"/>
      <c r="B10" s="51"/>
      <c r="C10" s="52"/>
      <c r="D10" s="52"/>
      <c r="E10" s="52"/>
      <c r="F10" s="52"/>
      <c r="G10" s="53"/>
      <c r="H10" s="54"/>
      <c r="I10" s="55"/>
      <c r="J10" s="53"/>
      <c r="K10" s="56"/>
      <c r="L10" s="57"/>
      <c r="M10" s="56"/>
      <c r="N10" s="57"/>
      <c r="O10" s="58"/>
      <c r="P10" s="59"/>
      <c r="Q10" s="54"/>
      <c r="R10" s="60"/>
      <c r="S10" s="57"/>
      <c r="T10" s="58"/>
      <c r="U10" s="58"/>
      <c r="V10" s="58"/>
      <c r="X10" s="652" t="s">
        <v>72</v>
      </c>
      <c r="Y10" s="563" t="s">
        <v>17</v>
      </c>
      <c r="Z10" s="556" t="s">
        <v>0</v>
      </c>
      <c r="AA10" s="556" t="s">
        <v>20</v>
      </c>
      <c r="AB10" s="556" t="s">
        <v>1</v>
      </c>
      <c r="AC10" s="564" t="s">
        <v>62</v>
      </c>
      <c r="AD10" s="669" t="s">
        <v>436</v>
      </c>
      <c r="AE10" s="641" t="s">
        <v>609</v>
      </c>
      <c r="AF10" s="642" t="s">
        <v>644</v>
      </c>
      <c r="AG10" s="204"/>
      <c r="AH10" s="204"/>
      <c r="AJ10" s="746"/>
      <c r="AK10" s="747"/>
      <c r="AL10" s="747"/>
    </row>
    <row r="11" spans="1:38" s="66" customFormat="1" x14ac:dyDescent="0.25">
      <c r="A11" s="61"/>
      <c r="B11" s="61"/>
      <c r="C11" s="61"/>
      <c r="D11" s="61"/>
      <c r="E11" s="61"/>
      <c r="F11" s="61"/>
      <c r="G11" s="61"/>
      <c r="H11" s="62"/>
      <c r="I11" s="61"/>
      <c r="J11" s="61"/>
      <c r="K11" s="61"/>
      <c r="L11" s="61"/>
      <c r="M11" s="61"/>
      <c r="N11" s="61"/>
      <c r="O11" s="61"/>
      <c r="P11" s="63"/>
      <c r="Q11" s="62"/>
      <c r="R11" s="64"/>
      <c r="S11" s="65"/>
      <c r="T11" s="65"/>
      <c r="U11" s="64"/>
      <c r="V11" s="64"/>
      <c r="W11" s="62"/>
      <c r="X11" s="578">
        <v>1</v>
      </c>
      <c r="Y11" s="565">
        <v>2</v>
      </c>
      <c r="Z11" s="512">
        <v>3</v>
      </c>
      <c r="AA11" s="512">
        <v>4</v>
      </c>
      <c r="AB11" s="512">
        <v>5</v>
      </c>
      <c r="AC11" s="566">
        <v>6</v>
      </c>
      <c r="AD11" s="670">
        <v>7</v>
      </c>
      <c r="AE11" s="632">
        <v>8</v>
      </c>
      <c r="AF11" s="643">
        <v>9</v>
      </c>
      <c r="AG11" s="168"/>
      <c r="AH11" s="168"/>
    </row>
    <row r="12" spans="1:38" s="66" customFormat="1" x14ac:dyDescent="0.25">
      <c r="A12" s="61"/>
      <c r="B12" s="67"/>
      <c r="C12" s="61"/>
      <c r="D12" s="61"/>
      <c r="E12" s="61"/>
      <c r="F12" s="61"/>
      <c r="G12" s="61"/>
      <c r="H12" s="62"/>
      <c r="I12" s="61"/>
      <c r="J12" s="61"/>
      <c r="K12" s="61"/>
      <c r="L12" s="61"/>
      <c r="M12" s="61"/>
      <c r="N12" s="61"/>
      <c r="O12" s="61"/>
      <c r="P12" s="63"/>
      <c r="Q12" s="62"/>
      <c r="R12" s="64"/>
      <c r="S12" s="65"/>
      <c r="T12" s="65"/>
      <c r="U12" s="64"/>
      <c r="V12" s="64"/>
      <c r="W12" s="62"/>
      <c r="X12" s="653" t="s">
        <v>139</v>
      </c>
      <c r="Y12" s="448" t="s">
        <v>63</v>
      </c>
      <c r="Z12" s="537"/>
      <c r="AA12" s="537"/>
      <c r="AB12" s="538"/>
      <c r="AC12" s="567"/>
      <c r="AD12" s="671">
        <f>AD13+AD140+AD155+AD225+AD273+AD324+AD332+AD380+AD436+AD444+AD474+AD492</f>
        <v>1293677.6000000001</v>
      </c>
      <c r="AE12" s="633">
        <f>AE13+AE140+AE155+AE225+AE273+AE324+AE332+AE380+AE436+AE444+AE474+AE492</f>
        <v>1037706.9</v>
      </c>
      <c r="AF12" s="644">
        <f>AF13+AF140+AF155+AF225+AF273+AF324+AF332+AF380+AF436+AF444+AF474+AF492</f>
        <v>1033969.3</v>
      </c>
      <c r="AG12" s="205"/>
      <c r="AH12" s="205"/>
      <c r="AI12" s="147"/>
    </row>
    <row r="13" spans="1:38" s="77" customFormat="1" x14ac:dyDescent="0.25">
      <c r="A13" s="68"/>
      <c r="B13" s="69"/>
      <c r="C13" s="70"/>
      <c r="D13" s="71"/>
      <c r="E13" s="72"/>
      <c r="F13" s="72"/>
      <c r="G13" s="73"/>
      <c r="H13" s="73"/>
      <c r="I13" s="73"/>
      <c r="J13" s="73"/>
      <c r="K13" s="73"/>
      <c r="L13" s="73"/>
      <c r="M13" s="73"/>
      <c r="N13" s="73"/>
      <c r="O13" s="74"/>
      <c r="P13" s="73"/>
      <c r="Q13" s="75"/>
      <c r="R13" s="76"/>
      <c r="S13" s="76"/>
      <c r="T13" s="76"/>
      <c r="U13" s="76"/>
      <c r="V13" s="76"/>
      <c r="W13" s="76"/>
      <c r="X13" s="653" t="s">
        <v>25</v>
      </c>
      <c r="Y13" s="448" t="s">
        <v>63</v>
      </c>
      <c r="Z13" s="449" t="s">
        <v>29</v>
      </c>
      <c r="AA13" s="471"/>
      <c r="AB13" s="539"/>
      <c r="AC13" s="476"/>
      <c r="AD13" s="671">
        <f>AD14+AD21+AD67+AD72+AD62</f>
        <v>346204.19999999995</v>
      </c>
      <c r="AE13" s="633">
        <f>AE14+AE21+AE67+AE72+AE62</f>
        <v>249467.3</v>
      </c>
      <c r="AF13" s="644">
        <f>AF14+AF21+AF67+AF72+AF62</f>
        <v>235059.40000000002</v>
      </c>
      <c r="AG13" s="205"/>
      <c r="AH13" s="205"/>
      <c r="AI13" s="147"/>
    </row>
    <row r="14" spans="1:38" ht="31.5" x14ac:dyDescent="0.25">
      <c r="A14" s="47"/>
      <c r="B14" s="78"/>
      <c r="C14" s="79"/>
      <c r="D14" s="79"/>
      <c r="E14" s="80"/>
      <c r="F14" s="80"/>
      <c r="G14" s="81"/>
      <c r="H14" s="81"/>
      <c r="I14" s="81"/>
      <c r="J14" s="81"/>
      <c r="K14" s="81"/>
      <c r="L14" s="73"/>
      <c r="M14" s="81"/>
      <c r="N14" s="73"/>
      <c r="O14" s="82"/>
      <c r="P14" s="81"/>
      <c r="Q14" s="83"/>
      <c r="R14" s="84"/>
      <c r="S14" s="84"/>
      <c r="T14" s="84"/>
      <c r="U14" s="84"/>
      <c r="V14" s="84"/>
      <c r="W14" s="84"/>
      <c r="X14" s="451" t="s">
        <v>10</v>
      </c>
      <c r="Y14" s="452" t="s">
        <v>63</v>
      </c>
      <c r="Z14" s="453" t="s">
        <v>29</v>
      </c>
      <c r="AA14" s="453" t="s">
        <v>30</v>
      </c>
      <c r="AB14" s="541"/>
      <c r="AC14" s="482" t="s">
        <v>361</v>
      </c>
      <c r="AD14" s="672">
        <f t="shared" ref="AD14:AF17" si="0">AD15</f>
        <v>9374.2999999999993</v>
      </c>
      <c r="AE14" s="634">
        <f t="shared" si="0"/>
        <v>3451.3</v>
      </c>
      <c r="AF14" s="645">
        <f t="shared" si="0"/>
        <v>3451.3</v>
      </c>
      <c r="AG14" s="180"/>
      <c r="AH14" s="180"/>
      <c r="AI14" s="147"/>
    </row>
    <row r="15" spans="1:38" x14ac:dyDescent="0.25">
      <c r="A15" s="47"/>
      <c r="B15" s="78"/>
      <c r="C15" s="79"/>
      <c r="D15" s="79"/>
      <c r="E15" s="80"/>
      <c r="F15" s="80"/>
      <c r="G15" s="81"/>
      <c r="H15" s="81"/>
      <c r="I15" s="81"/>
      <c r="J15" s="81"/>
      <c r="K15" s="81"/>
      <c r="L15" s="73"/>
      <c r="M15" s="81"/>
      <c r="N15" s="73"/>
      <c r="O15" s="82"/>
      <c r="P15" s="81"/>
      <c r="Q15" s="83"/>
      <c r="R15" s="84"/>
      <c r="S15" s="84"/>
      <c r="T15" s="84"/>
      <c r="U15" s="84"/>
      <c r="V15" s="84"/>
      <c r="W15" s="84"/>
      <c r="X15" s="457" t="s">
        <v>186</v>
      </c>
      <c r="Y15" s="452" t="s">
        <v>63</v>
      </c>
      <c r="Z15" s="453" t="s">
        <v>29</v>
      </c>
      <c r="AA15" s="453" t="s">
        <v>30</v>
      </c>
      <c r="AB15" s="542" t="s">
        <v>112</v>
      </c>
      <c r="AC15" s="482"/>
      <c r="AD15" s="672">
        <f>AD16</f>
        <v>9374.2999999999993</v>
      </c>
      <c r="AE15" s="634">
        <f>AE16</f>
        <v>3451.3</v>
      </c>
      <c r="AF15" s="645">
        <f>AF16</f>
        <v>3451.3</v>
      </c>
      <c r="AG15" s="180"/>
      <c r="AH15" s="180"/>
      <c r="AI15" s="147"/>
    </row>
    <row r="16" spans="1:38" x14ac:dyDescent="0.25">
      <c r="A16" s="85"/>
      <c r="B16" s="78"/>
      <c r="C16" s="79"/>
      <c r="D16" s="79"/>
      <c r="E16" s="79"/>
      <c r="F16" s="80"/>
      <c r="G16" s="81"/>
      <c r="H16" s="81"/>
      <c r="I16" s="81"/>
      <c r="J16" s="81"/>
      <c r="K16" s="81"/>
      <c r="L16" s="73"/>
      <c r="M16" s="81"/>
      <c r="N16" s="73"/>
      <c r="O16" s="82"/>
      <c r="P16" s="81"/>
      <c r="Q16" s="83"/>
      <c r="R16" s="84"/>
      <c r="S16" s="84"/>
      <c r="T16" s="84"/>
      <c r="U16" s="84"/>
      <c r="V16" s="84"/>
      <c r="W16" s="84"/>
      <c r="X16" s="457" t="s">
        <v>189</v>
      </c>
      <c r="Y16" s="452" t="s">
        <v>63</v>
      </c>
      <c r="Z16" s="453" t="s">
        <v>29</v>
      </c>
      <c r="AA16" s="453" t="s">
        <v>30</v>
      </c>
      <c r="AB16" s="542" t="s">
        <v>190</v>
      </c>
      <c r="AC16" s="482"/>
      <c r="AD16" s="672">
        <f t="shared" si="0"/>
        <v>9374.2999999999993</v>
      </c>
      <c r="AE16" s="634">
        <f t="shared" si="0"/>
        <v>3451.3</v>
      </c>
      <c r="AF16" s="645">
        <f t="shared" si="0"/>
        <v>3451.3</v>
      </c>
      <c r="AG16" s="180"/>
      <c r="AH16" s="180"/>
      <c r="AI16" s="147"/>
    </row>
    <row r="17" spans="1:35" ht="31.5" x14ac:dyDescent="0.25">
      <c r="A17" s="85"/>
      <c r="B17" s="78"/>
      <c r="C17" s="79"/>
      <c r="D17" s="79"/>
      <c r="E17" s="79"/>
      <c r="F17" s="80"/>
      <c r="G17" s="81"/>
      <c r="H17" s="81"/>
      <c r="I17" s="81"/>
      <c r="J17" s="81"/>
      <c r="K17" s="81"/>
      <c r="L17" s="73"/>
      <c r="M17" s="81"/>
      <c r="N17" s="73"/>
      <c r="O17" s="82"/>
      <c r="P17" s="81"/>
      <c r="Q17" s="83"/>
      <c r="R17" s="84"/>
      <c r="S17" s="84"/>
      <c r="T17" s="84"/>
      <c r="U17" s="84"/>
      <c r="V17" s="84"/>
      <c r="W17" s="84"/>
      <c r="X17" s="457" t="s">
        <v>191</v>
      </c>
      <c r="Y17" s="452" t="s">
        <v>63</v>
      </c>
      <c r="Z17" s="453" t="s">
        <v>29</v>
      </c>
      <c r="AA17" s="453" t="s">
        <v>30</v>
      </c>
      <c r="AB17" s="542" t="s">
        <v>192</v>
      </c>
      <c r="AC17" s="482"/>
      <c r="AD17" s="672">
        <f t="shared" si="0"/>
        <v>9374.2999999999993</v>
      </c>
      <c r="AE17" s="634">
        <f t="shared" si="0"/>
        <v>3451.3</v>
      </c>
      <c r="AF17" s="645">
        <f t="shared" si="0"/>
        <v>3451.3</v>
      </c>
      <c r="AG17" s="180"/>
      <c r="AH17" s="180"/>
      <c r="AI17" s="147"/>
    </row>
    <row r="18" spans="1:35" x14ac:dyDescent="0.25">
      <c r="A18" s="85"/>
      <c r="B18" s="78"/>
      <c r="C18" s="79"/>
      <c r="D18" s="79"/>
      <c r="E18" s="79"/>
      <c r="F18" s="80"/>
      <c r="G18" s="81"/>
      <c r="H18" s="81"/>
      <c r="I18" s="81"/>
      <c r="J18" s="81"/>
      <c r="K18" s="81"/>
      <c r="L18" s="73"/>
      <c r="M18" s="81"/>
      <c r="N18" s="73"/>
      <c r="O18" s="82"/>
      <c r="P18" s="81"/>
      <c r="Q18" s="83"/>
      <c r="R18" s="84"/>
      <c r="S18" s="84"/>
      <c r="T18" s="84"/>
      <c r="U18" s="84"/>
      <c r="V18" s="84"/>
      <c r="W18" s="84"/>
      <c r="X18" s="457" t="s">
        <v>193</v>
      </c>
      <c r="Y18" s="452" t="s">
        <v>63</v>
      </c>
      <c r="Z18" s="453" t="s">
        <v>29</v>
      </c>
      <c r="AA18" s="453" t="s">
        <v>30</v>
      </c>
      <c r="AB18" s="542" t="s">
        <v>194</v>
      </c>
      <c r="AC18" s="482"/>
      <c r="AD18" s="672">
        <f t="shared" ref="AD18:AF19" si="1">AD19</f>
        <v>9374.2999999999993</v>
      </c>
      <c r="AE18" s="634">
        <f t="shared" si="1"/>
        <v>3451.3</v>
      </c>
      <c r="AF18" s="645">
        <f t="shared" si="1"/>
        <v>3451.3</v>
      </c>
      <c r="AG18" s="180"/>
      <c r="AH18" s="180"/>
      <c r="AI18" s="147"/>
    </row>
    <row r="19" spans="1:35" ht="47.25" x14ac:dyDescent="0.25">
      <c r="A19" s="85"/>
      <c r="B19" s="78"/>
      <c r="C19" s="79"/>
      <c r="D19" s="79"/>
      <c r="E19" s="79"/>
      <c r="F19" s="80"/>
      <c r="G19" s="81"/>
      <c r="H19" s="81"/>
      <c r="I19" s="81"/>
      <c r="J19" s="81"/>
      <c r="K19" s="81"/>
      <c r="L19" s="73"/>
      <c r="M19" s="81"/>
      <c r="N19" s="73"/>
      <c r="O19" s="82"/>
      <c r="P19" s="81"/>
      <c r="Q19" s="83"/>
      <c r="R19" s="84"/>
      <c r="S19" s="84"/>
      <c r="T19" s="84"/>
      <c r="U19" s="84"/>
      <c r="V19" s="84"/>
      <c r="W19" s="84"/>
      <c r="X19" s="451" t="s">
        <v>41</v>
      </c>
      <c r="Y19" s="452" t="s">
        <v>63</v>
      </c>
      <c r="Z19" s="453" t="s">
        <v>29</v>
      </c>
      <c r="AA19" s="453" t="s">
        <v>30</v>
      </c>
      <c r="AB19" s="542" t="s">
        <v>194</v>
      </c>
      <c r="AC19" s="482">
        <v>100</v>
      </c>
      <c r="AD19" s="672">
        <f t="shared" si="1"/>
        <v>9374.2999999999993</v>
      </c>
      <c r="AE19" s="634">
        <f t="shared" si="1"/>
        <v>3451.3</v>
      </c>
      <c r="AF19" s="645">
        <f t="shared" si="1"/>
        <v>3451.3</v>
      </c>
      <c r="AG19" s="180"/>
      <c r="AH19" s="180"/>
      <c r="AI19" s="147"/>
    </row>
    <row r="20" spans="1:35" x14ac:dyDescent="0.25">
      <c r="A20" s="85"/>
      <c r="B20" s="78"/>
      <c r="C20" s="79"/>
      <c r="D20" s="79"/>
      <c r="E20" s="79"/>
      <c r="F20" s="80"/>
      <c r="G20" s="81"/>
      <c r="H20" s="81"/>
      <c r="I20" s="81"/>
      <c r="J20" s="81"/>
      <c r="K20" s="81"/>
      <c r="L20" s="73"/>
      <c r="M20" s="81"/>
      <c r="N20" s="73"/>
      <c r="O20" s="82"/>
      <c r="P20" s="81"/>
      <c r="Q20" s="83"/>
      <c r="R20" s="84"/>
      <c r="S20" s="84"/>
      <c r="T20" s="84"/>
      <c r="U20" s="84"/>
      <c r="V20" s="84"/>
      <c r="W20" s="84"/>
      <c r="X20" s="451" t="s">
        <v>96</v>
      </c>
      <c r="Y20" s="452" t="s">
        <v>63</v>
      </c>
      <c r="Z20" s="453" t="s">
        <v>29</v>
      </c>
      <c r="AA20" s="453" t="s">
        <v>30</v>
      </c>
      <c r="AB20" s="542" t="s">
        <v>194</v>
      </c>
      <c r="AC20" s="482">
        <v>120</v>
      </c>
      <c r="AD20" s="672">
        <f>3451.3+5923</f>
        <v>9374.2999999999993</v>
      </c>
      <c r="AE20" s="634">
        <v>3451.3</v>
      </c>
      <c r="AF20" s="645">
        <v>3451.3</v>
      </c>
      <c r="AG20" s="180"/>
      <c r="AH20" s="180"/>
      <c r="AI20" s="147"/>
    </row>
    <row r="21" spans="1:35" ht="31.5" x14ac:dyDescent="0.25">
      <c r="A21" s="47"/>
      <c r="B21" s="78"/>
      <c r="C21" s="79"/>
      <c r="D21" s="79"/>
      <c r="E21" s="80"/>
      <c r="F21" s="80"/>
      <c r="G21" s="81"/>
      <c r="H21" s="81"/>
      <c r="I21" s="81"/>
      <c r="J21" s="81"/>
      <c r="K21" s="81"/>
      <c r="L21" s="73"/>
      <c r="M21" s="81"/>
      <c r="N21" s="73"/>
      <c r="O21" s="86"/>
      <c r="P21" s="81"/>
      <c r="Q21" s="83"/>
      <c r="R21" s="87"/>
      <c r="S21" s="87"/>
      <c r="T21" s="87"/>
      <c r="U21" s="87"/>
      <c r="V21" s="87"/>
      <c r="W21" s="87"/>
      <c r="X21" s="451" t="s">
        <v>705</v>
      </c>
      <c r="Y21" s="452" t="s">
        <v>63</v>
      </c>
      <c r="Z21" s="453" t="s">
        <v>29</v>
      </c>
      <c r="AA21" s="453" t="s">
        <v>49</v>
      </c>
      <c r="AB21" s="541"/>
      <c r="AC21" s="482"/>
      <c r="AD21" s="672">
        <f>AD22+AD35+AD56</f>
        <v>127381.09999999999</v>
      </c>
      <c r="AE21" s="634">
        <f>AE22+AE35+AE56</f>
        <v>100872</v>
      </c>
      <c r="AF21" s="645">
        <f>AF22+AF35+AF56</f>
        <v>100785</v>
      </c>
      <c r="AG21" s="180"/>
      <c r="AH21" s="180"/>
      <c r="AI21" s="147"/>
    </row>
    <row r="22" spans="1:35" x14ac:dyDescent="0.25">
      <c r="A22" s="47"/>
      <c r="B22" s="78"/>
      <c r="C22" s="79"/>
      <c r="D22" s="79"/>
      <c r="E22" s="80"/>
      <c r="F22" s="80"/>
      <c r="G22" s="81"/>
      <c r="H22" s="81"/>
      <c r="I22" s="81"/>
      <c r="J22" s="81"/>
      <c r="K22" s="81"/>
      <c r="L22" s="73"/>
      <c r="M22" s="81"/>
      <c r="N22" s="73"/>
      <c r="O22" s="86"/>
      <c r="P22" s="81"/>
      <c r="Q22" s="83"/>
      <c r="R22" s="87"/>
      <c r="S22" s="87"/>
      <c r="T22" s="87"/>
      <c r="U22" s="87"/>
      <c r="V22" s="87"/>
      <c r="W22" s="87"/>
      <c r="X22" s="459" t="s">
        <v>292</v>
      </c>
      <c r="Y22" s="452" t="s">
        <v>63</v>
      </c>
      <c r="Z22" s="453" t="s">
        <v>29</v>
      </c>
      <c r="AA22" s="453" t="s">
        <v>49</v>
      </c>
      <c r="AB22" s="541" t="s">
        <v>109</v>
      </c>
      <c r="AC22" s="454"/>
      <c r="AD22" s="672">
        <f>AD23+AD30</f>
        <v>5248</v>
      </c>
      <c r="AE22" s="634">
        <f>AE23+AE30</f>
        <v>5206</v>
      </c>
      <c r="AF22" s="645">
        <f>AF23+AF30</f>
        <v>5236</v>
      </c>
      <c r="AG22" s="180"/>
      <c r="AH22" s="180"/>
      <c r="AI22" s="147"/>
    </row>
    <row r="23" spans="1:35" x14ac:dyDescent="0.25">
      <c r="A23" s="47"/>
      <c r="B23" s="78"/>
      <c r="C23" s="79"/>
      <c r="D23" s="79"/>
      <c r="E23" s="80"/>
      <c r="F23" s="80"/>
      <c r="G23" s="81"/>
      <c r="H23" s="81"/>
      <c r="I23" s="81"/>
      <c r="J23" s="81"/>
      <c r="K23" s="81"/>
      <c r="L23" s="73"/>
      <c r="M23" s="81"/>
      <c r="N23" s="73"/>
      <c r="O23" s="86"/>
      <c r="P23" s="81"/>
      <c r="Q23" s="83"/>
      <c r="R23" s="87"/>
      <c r="S23" s="87"/>
      <c r="T23" s="87"/>
      <c r="U23" s="87"/>
      <c r="V23" s="87"/>
      <c r="W23" s="87"/>
      <c r="X23" s="459" t="s">
        <v>48</v>
      </c>
      <c r="Y23" s="452" t="s">
        <v>63</v>
      </c>
      <c r="Z23" s="453" t="s">
        <v>29</v>
      </c>
      <c r="AA23" s="453" t="s">
        <v>49</v>
      </c>
      <c r="AB23" s="541" t="s">
        <v>401</v>
      </c>
      <c r="AC23" s="454"/>
      <c r="AD23" s="672">
        <f t="shared" ref="AD23:AF24" si="2">AD24</f>
        <v>5178</v>
      </c>
      <c r="AE23" s="634">
        <f t="shared" si="2"/>
        <v>5206</v>
      </c>
      <c r="AF23" s="645">
        <f t="shared" si="2"/>
        <v>5236</v>
      </c>
      <c r="AG23" s="180"/>
      <c r="AH23" s="180"/>
      <c r="AI23" s="147"/>
    </row>
    <row r="24" spans="1:35" ht="47.25" x14ac:dyDescent="0.25">
      <c r="A24" s="47"/>
      <c r="B24" s="78"/>
      <c r="C24" s="79"/>
      <c r="D24" s="79"/>
      <c r="E24" s="80"/>
      <c r="F24" s="80"/>
      <c r="G24" s="81"/>
      <c r="H24" s="81"/>
      <c r="I24" s="81"/>
      <c r="J24" s="81"/>
      <c r="K24" s="81"/>
      <c r="L24" s="73"/>
      <c r="M24" s="81"/>
      <c r="N24" s="73"/>
      <c r="O24" s="86"/>
      <c r="P24" s="81"/>
      <c r="Q24" s="83"/>
      <c r="R24" s="87"/>
      <c r="S24" s="87"/>
      <c r="T24" s="87"/>
      <c r="U24" s="87"/>
      <c r="V24" s="87"/>
      <c r="W24" s="87"/>
      <c r="X24" s="459" t="s">
        <v>519</v>
      </c>
      <c r="Y24" s="452" t="s">
        <v>63</v>
      </c>
      <c r="Z24" s="453" t="s">
        <v>29</v>
      </c>
      <c r="AA24" s="453" t="s">
        <v>49</v>
      </c>
      <c r="AB24" s="541" t="s">
        <v>518</v>
      </c>
      <c r="AC24" s="454"/>
      <c r="AD24" s="672">
        <f t="shared" si="2"/>
        <v>5178</v>
      </c>
      <c r="AE24" s="634">
        <f t="shared" si="2"/>
        <v>5206</v>
      </c>
      <c r="AF24" s="645">
        <f t="shared" si="2"/>
        <v>5236</v>
      </c>
      <c r="AG24" s="180"/>
      <c r="AH24" s="180"/>
      <c r="AI24" s="147"/>
    </row>
    <row r="25" spans="1:35" ht="47.25" x14ac:dyDescent="0.25">
      <c r="A25" s="47"/>
      <c r="B25" s="78"/>
      <c r="C25" s="79"/>
      <c r="D25" s="79"/>
      <c r="E25" s="80"/>
      <c r="F25" s="80"/>
      <c r="G25" s="81"/>
      <c r="H25" s="81"/>
      <c r="I25" s="81"/>
      <c r="J25" s="81"/>
      <c r="K25" s="81"/>
      <c r="L25" s="73"/>
      <c r="M25" s="81"/>
      <c r="N25" s="73"/>
      <c r="O25" s="86"/>
      <c r="P25" s="81"/>
      <c r="Q25" s="83"/>
      <c r="R25" s="87"/>
      <c r="S25" s="87"/>
      <c r="T25" s="87"/>
      <c r="U25" s="87"/>
      <c r="V25" s="87"/>
      <c r="W25" s="87"/>
      <c r="X25" s="654" t="s">
        <v>358</v>
      </c>
      <c r="Y25" s="452" t="s">
        <v>63</v>
      </c>
      <c r="Z25" s="453" t="s">
        <v>29</v>
      </c>
      <c r="AA25" s="453" t="s">
        <v>49</v>
      </c>
      <c r="AB25" s="541" t="s">
        <v>520</v>
      </c>
      <c r="AC25" s="454"/>
      <c r="AD25" s="672">
        <f>AD26+AD28</f>
        <v>5178</v>
      </c>
      <c r="AE25" s="634">
        <f>AE26+AE28</f>
        <v>5206</v>
      </c>
      <c r="AF25" s="645">
        <f>AF26+AF28</f>
        <v>5236</v>
      </c>
      <c r="AG25" s="180"/>
      <c r="AH25" s="180"/>
      <c r="AI25" s="147"/>
    </row>
    <row r="26" spans="1:35" ht="47.25" x14ac:dyDescent="0.25">
      <c r="A26" s="47"/>
      <c r="B26" s="78"/>
      <c r="C26" s="79"/>
      <c r="D26" s="79"/>
      <c r="E26" s="80"/>
      <c r="F26" s="80"/>
      <c r="G26" s="81"/>
      <c r="H26" s="81"/>
      <c r="I26" s="81"/>
      <c r="J26" s="81"/>
      <c r="K26" s="81"/>
      <c r="L26" s="73"/>
      <c r="M26" s="81"/>
      <c r="N26" s="73"/>
      <c r="O26" s="86"/>
      <c r="P26" s="81"/>
      <c r="Q26" s="83"/>
      <c r="R26" s="87"/>
      <c r="S26" s="87"/>
      <c r="T26" s="87"/>
      <c r="U26" s="87"/>
      <c r="V26" s="87"/>
      <c r="W26" s="87"/>
      <c r="X26" s="451" t="s">
        <v>41</v>
      </c>
      <c r="Y26" s="452" t="s">
        <v>63</v>
      </c>
      <c r="Z26" s="453" t="s">
        <v>29</v>
      </c>
      <c r="AA26" s="453" t="s">
        <v>49</v>
      </c>
      <c r="AB26" s="541" t="s">
        <v>520</v>
      </c>
      <c r="AC26" s="482">
        <v>100</v>
      </c>
      <c r="AD26" s="672">
        <f>AD27</f>
        <v>4651.3999999999996</v>
      </c>
      <c r="AE26" s="634">
        <f>AE27</f>
        <v>4659.6000000000004</v>
      </c>
      <c r="AF26" s="645">
        <f>AF27</f>
        <v>4669.1000000000004</v>
      </c>
      <c r="AG26" s="180"/>
      <c r="AH26" s="180"/>
      <c r="AI26" s="147"/>
    </row>
    <row r="27" spans="1:35" x14ac:dyDescent="0.25">
      <c r="A27" s="47"/>
      <c r="B27" s="78"/>
      <c r="C27" s="79"/>
      <c r="D27" s="79"/>
      <c r="E27" s="80"/>
      <c r="F27" s="80"/>
      <c r="G27" s="81"/>
      <c r="H27" s="81"/>
      <c r="I27" s="81"/>
      <c r="J27" s="81"/>
      <c r="K27" s="81"/>
      <c r="L27" s="73"/>
      <c r="M27" s="81"/>
      <c r="N27" s="73"/>
      <c r="O27" s="86"/>
      <c r="P27" s="81"/>
      <c r="Q27" s="83"/>
      <c r="R27" s="87"/>
      <c r="S27" s="87"/>
      <c r="T27" s="87"/>
      <c r="U27" s="87"/>
      <c r="V27" s="87"/>
      <c r="W27" s="87"/>
      <c r="X27" s="451" t="s">
        <v>96</v>
      </c>
      <c r="Y27" s="452" t="s">
        <v>63</v>
      </c>
      <c r="Z27" s="453" t="s">
        <v>29</v>
      </c>
      <c r="AA27" s="453" t="s">
        <v>49</v>
      </c>
      <c r="AB27" s="541" t="s">
        <v>520</v>
      </c>
      <c r="AC27" s="454">
        <v>120</v>
      </c>
      <c r="AD27" s="672">
        <v>4651.3999999999996</v>
      </c>
      <c r="AE27" s="634">
        <v>4659.6000000000004</v>
      </c>
      <c r="AF27" s="645">
        <v>4669.1000000000004</v>
      </c>
      <c r="AG27" s="180"/>
      <c r="AH27" s="180"/>
      <c r="AI27" s="147"/>
    </row>
    <row r="28" spans="1:35" x14ac:dyDescent="0.25">
      <c r="A28" s="47"/>
      <c r="B28" s="78"/>
      <c r="C28" s="79"/>
      <c r="D28" s="79"/>
      <c r="E28" s="80"/>
      <c r="F28" s="80"/>
      <c r="G28" s="81"/>
      <c r="H28" s="81"/>
      <c r="I28" s="81"/>
      <c r="J28" s="81"/>
      <c r="K28" s="81"/>
      <c r="L28" s="73"/>
      <c r="M28" s="81"/>
      <c r="N28" s="73"/>
      <c r="O28" s="86"/>
      <c r="P28" s="81"/>
      <c r="Q28" s="83"/>
      <c r="R28" s="87"/>
      <c r="S28" s="87"/>
      <c r="T28" s="87"/>
      <c r="U28" s="87"/>
      <c r="V28" s="87"/>
      <c r="W28" s="87"/>
      <c r="X28" s="451" t="s">
        <v>120</v>
      </c>
      <c r="Y28" s="452" t="s">
        <v>63</v>
      </c>
      <c r="Z28" s="453" t="s">
        <v>29</v>
      </c>
      <c r="AA28" s="453" t="s">
        <v>49</v>
      </c>
      <c r="AB28" s="541" t="s">
        <v>520</v>
      </c>
      <c r="AC28" s="454">
        <v>200</v>
      </c>
      <c r="AD28" s="672">
        <f>AD29</f>
        <v>526.6</v>
      </c>
      <c r="AE28" s="634">
        <f>AE29</f>
        <v>546.4</v>
      </c>
      <c r="AF28" s="645">
        <f>AF29</f>
        <v>566.9</v>
      </c>
      <c r="AG28" s="180"/>
      <c r="AH28" s="180"/>
      <c r="AI28" s="147"/>
    </row>
    <row r="29" spans="1:35" ht="31.5" x14ac:dyDescent="0.25">
      <c r="A29" s="47"/>
      <c r="B29" s="78"/>
      <c r="C29" s="79"/>
      <c r="D29" s="79"/>
      <c r="E29" s="80"/>
      <c r="F29" s="80"/>
      <c r="G29" s="81"/>
      <c r="H29" s="81"/>
      <c r="I29" s="81"/>
      <c r="J29" s="81"/>
      <c r="K29" s="81"/>
      <c r="L29" s="73"/>
      <c r="M29" s="81"/>
      <c r="N29" s="73"/>
      <c r="O29" s="86"/>
      <c r="P29" s="81"/>
      <c r="Q29" s="83"/>
      <c r="R29" s="87"/>
      <c r="S29" s="87"/>
      <c r="T29" s="87"/>
      <c r="U29" s="87"/>
      <c r="V29" s="87"/>
      <c r="W29" s="87"/>
      <c r="X29" s="451" t="s">
        <v>52</v>
      </c>
      <c r="Y29" s="452" t="s">
        <v>63</v>
      </c>
      <c r="Z29" s="453" t="s">
        <v>29</v>
      </c>
      <c r="AA29" s="453" t="s">
        <v>49</v>
      </c>
      <c r="AB29" s="541" t="s">
        <v>520</v>
      </c>
      <c r="AC29" s="454">
        <v>240</v>
      </c>
      <c r="AD29" s="672">
        <v>526.6</v>
      </c>
      <c r="AE29" s="634">
        <v>546.4</v>
      </c>
      <c r="AF29" s="645">
        <v>566.9</v>
      </c>
      <c r="AG29" s="180"/>
      <c r="AH29" s="180"/>
      <c r="AI29" s="147"/>
    </row>
    <row r="30" spans="1:35" ht="31.5" x14ac:dyDescent="0.25">
      <c r="A30" s="47"/>
      <c r="B30" s="78"/>
      <c r="C30" s="79"/>
      <c r="D30" s="79"/>
      <c r="E30" s="80"/>
      <c r="F30" s="80"/>
      <c r="G30" s="81"/>
      <c r="H30" s="81"/>
      <c r="I30" s="81"/>
      <c r="J30" s="81"/>
      <c r="K30" s="81"/>
      <c r="L30" s="73"/>
      <c r="M30" s="81"/>
      <c r="N30" s="73"/>
      <c r="O30" s="86"/>
      <c r="P30" s="81"/>
      <c r="Q30" s="83"/>
      <c r="R30" s="87"/>
      <c r="S30" s="87"/>
      <c r="T30" s="87"/>
      <c r="U30" s="87"/>
      <c r="V30" s="87"/>
      <c r="W30" s="87"/>
      <c r="X30" s="451" t="s">
        <v>567</v>
      </c>
      <c r="Y30" s="452" t="s">
        <v>63</v>
      </c>
      <c r="Z30" s="453" t="s">
        <v>29</v>
      </c>
      <c r="AA30" s="453" t="s">
        <v>49</v>
      </c>
      <c r="AB30" s="543" t="s">
        <v>570</v>
      </c>
      <c r="AC30" s="454"/>
      <c r="AD30" s="672">
        <f>AD31</f>
        <v>70</v>
      </c>
      <c r="AE30" s="634">
        <f t="shared" ref="AE30:AF33" si="3">AE31</f>
        <v>0</v>
      </c>
      <c r="AF30" s="645">
        <f t="shared" si="3"/>
        <v>0</v>
      </c>
      <c r="AG30" s="180"/>
      <c r="AH30" s="180"/>
      <c r="AI30" s="147"/>
    </row>
    <row r="31" spans="1:35" ht="31.5" x14ac:dyDescent="0.25">
      <c r="A31" s="47"/>
      <c r="B31" s="78"/>
      <c r="C31" s="79"/>
      <c r="D31" s="79"/>
      <c r="E31" s="80"/>
      <c r="F31" s="80"/>
      <c r="G31" s="81"/>
      <c r="H31" s="81"/>
      <c r="I31" s="81"/>
      <c r="J31" s="81"/>
      <c r="K31" s="81"/>
      <c r="L31" s="73"/>
      <c r="M31" s="81"/>
      <c r="N31" s="73"/>
      <c r="O31" s="86"/>
      <c r="P31" s="81"/>
      <c r="Q31" s="83"/>
      <c r="R31" s="87"/>
      <c r="S31" s="87"/>
      <c r="T31" s="87"/>
      <c r="U31" s="87"/>
      <c r="V31" s="87"/>
      <c r="W31" s="87"/>
      <c r="X31" s="655" t="s">
        <v>568</v>
      </c>
      <c r="Y31" s="452" t="s">
        <v>63</v>
      </c>
      <c r="Z31" s="453" t="s">
        <v>29</v>
      </c>
      <c r="AA31" s="453" t="s">
        <v>49</v>
      </c>
      <c r="AB31" s="543" t="s">
        <v>571</v>
      </c>
      <c r="AC31" s="454"/>
      <c r="AD31" s="672">
        <f>AD32</f>
        <v>70</v>
      </c>
      <c r="AE31" s="634">
        <f t="shared" si="3"/>
        <v>0</v>
      </c>
      <c r="AF31" s="645">
        <f t="shared" si="3"/>
        <v>0</v>
      </c>
      <c r="AG31" s="180"/>
      <c r="AH31" s="180"/>
      <c r="AI31" s="147"/>
    </row>
    <row r="32" spans="1:35" ht="31.5" x14ac:dyDescent="0.25">
      <c r="A32" s="47"/>
      <c r="B32" s="78"/>
      <c r="C32" s="79"/>
      <c r="D32" s="79"/>
      <c r="E32" s="80"/>
      <c r="F32" s="80"/>
      <c r="G32" s="81"/>
      <c r="H32" s="81"/>
      <c r="I32" s="81"/>
      <c r="J32" s="81"/>
      <c r="K32" s="81"/>
      <c r="L32" s="73"/>
      <c r="M32" s="81"/>
      <c r="N32" s="73"/>
      <c r="O32" s="86"/>
      <c r="P32" s="81"/>
      <c r="Q32" s="83"/>
      <c r="R32" s="87"/>
      <c r="S32" s="87"/>
      <c r="T32" s="87"/>
      <c r="U32" s="87"/>
      <c r="V32" s="87"/>
      <c r="W32" s="87"/>
      <c r="X32" s="655" t="s">
        <v>569</v>
      </c>
      <c r="Y32" s="452" t="s">
        <v>63</v>
      </c>
      <c r="Z32" s="453" t="s">
        <v>29</v>
      </c>
      <c r="AA32" s="453" t="s">
        <v>49</v>
      </c>
      <c r="AB32" s="543" t="s">
        <v>572</v>
      </c>
      <c r="AC32" s="454"/>
      <c r="AD32" s="672">
        <f>AD33</f>
        <v>70</v>
      </c>
      <c r="AE32" s="634">
        <f t="shared" si="3"/>
        <v>0</v>
      </c>
      <c r="AF32" s="645">
        <f t="shared" si="3"/>
        <v>0</v>
      </c>
      <c r="AG32" s="180"/>
      <c r="AH32" s="180"/>
      <c r="AI32" s="147"/>
    </row>
    <row r="33" spans="1:35" x14ac:dyDescent="0.25">
      <c r="A33" s="47"/>
      <c r="B33" s="78"/>
      <c r="C33" s="79"/>
      <c r="D33" s="79"/>
      <c r="E33" s="80"/>
      <c r="F33" s="80"/>
      <c r="G33" s="81"/>
      <c r="H33" s="81"/>
      <c r="I33" s="81"/>
      <c r="J33" s="81"/>
      <c r="K33" s="81"/>
      <c r="L33" s="73"/>
      <c r="M33" s="81"/>
      <c r="N33" s="73"/>
      <c r="O33" s="86"/>
      <c r="P33" s="81"/>
      <c r="Q33" s="83"/>
      <c r="R33" s="87"/>
      <c r="S33" s="87"/>
      <c r="T33" s="87"/>
      <c r="U33" s="87"/>
      <c r="V33" s="87"/>
      <c r="W33" s="87"/>
      <c r="X33" s="451" t="s">
        <v>120</v>
      </c>
      <c r="Y33" s="452" t="s">
        <v>63</v>
      </c>
      <c r="Z33" s="453" t="s">
        <v>29</v>
      </c>
      <c r="AA33" s="453" t="s">
        <v>49</v>
      </c>
      <c r="AB33" s="543" t="s">
        <v>572</v>
      </c>
      <c r="AC33" s="454">
        <v>200</v>
      </c>
      <c r="AD33" s="672">
        <f>AD34</f>
        <v>70</v>
      </c>
      <c r="AE33" s="634">
        <f t="shared" si="3"/>
        <v>0</v>
      </c>
      <c r="AF33" s="645">
        <f t="shared" si="3"/>
        <v>0</v>
      </c>
      <c r="AG33" s="180"/>
      <c r="AH33" s="180"/>
      <c r="AI33" s="147"/>
    </row>
    <row r="34" spans="1:35" ht="31.5" x14ac:dyDescent="0.25">
      <c r="A34" s="47"/>
      <c r="B34" s="78"/>
      <c r="C34" s="79"/>
      <c r="D34" s="79"/>
      <c r="E34" s="80"/>
      <c r="F34" s="80"/>
      <c r="G34" s="81"/>
      <c r="H34" s="81"/>
      <c r="I34" s="81"/>
      <c r="J34" s="81"/>
      <c r="K34" s="81"/>
      <c r="L34" s="73"/>
      <c r="M34" s="81"/>
      <c r="N34" s="73"/>
      <c r="O34" s="86"/>
      <c r="P34" s="81"/>
      <c r="Q34" s="83"/>
      <c r="R34" s="87"/>
      <c r="S34" s="87"/>
      <c r="T34" s="87"/>
      <c r="U34" s="87"/>
      <c r="V34" s="87"/>
      <c r="W34" s="87"/>
      <c r="X34" s="451" t="s">
        <v>52</v>
      </c>
      <c r="Y34" s="452" t="s">
        <v>63</v>
      </c>
      <c r="Z34" s="453" t="s">
        <v>29</v>
      </c>
      <c r="AA34" s="453" t="s">
        <v>49</v>
      </c>
      <c r="AB34" s="543" t="s">
        <v>572</v>
      </c>
      <c r="AC34" s="454">
        <v>240</v>
      </c>
      <c r="AD34" s="672">
        <v>70</v>
      </c>
      <c r="AE34" s="634">
        <v>0</v>
      </c>
      <c r="AF34" s="645">
        <v>0</v>
      </c>
      <c r="AG34" s="180"/>
      <c r="AH34" s="180"/>
      <c r="AI34" s="147"/>
    </row>
    <row r="35" spans="1:35" x14ac:dyDescent="0.25">
      <c r="A35" s="88"/>
      <c r="B35" s="78"/>
      <c r="C35" s="79"/>
      <c r="D35" s="79"/>
      <c r="E35" s="79"/>
      <c r="F35" s="80"/>
      <c r="G35" s="81"/>
      <c r="H35" s="81"/>
      <c r="I35" s="81"/>
      <c r="J35" s="81"/>
      <c r="K35" s="81"/>
      <c r="L35" s="73"/>
      <c r="M35" s="81"/>
      <c r="N35" s="73"/>
      <c r="O35" s="86"/>
      <c r="P35" s="81"/>
      <c r="Q35" s="83"/>
      <c r="R35" s="87"/>
      <c r="S35" s="87"/>
      <c r="T35" s="87"/>
      <c r="U35" s="87"/>
      <c r="V35" s="87"/>
      <c r="W35" s="87"/>
      <c r="X35" s="457" t="s">
        <v>186</v>
      </c>
      <c r="Y35" s="452" t="s">
        <v>63</v>
      </c>
      <c r="Z35" s="453" t="s">
        <v>29</v>
      </c>
      <c r="AA35" s="453" t="s">
        <v>49</v>
      </c>
      <c r="AB35" s="542" t="s">
        <v>112</v>
      </c>
      <c r="AC35" s="482"/>
      <c r="AD35" s="672">
        <f>AD36</f>
        <v>112724.7</v>
      </c>
      <c r="AE35" s="634">
        <f>AE36</f>
        <v>92666</v>
      </c>
      <c r="AF35" s="645">
        <f>AF36</f>
        <v>92549</v>
      </c>
      <c r="AG35" s="180"/>
      <c r="AH35" s="180"/>
      <c r="AI35" s="147"/>
    </row>
    <row r="36" spans="1:35" x14ac:dyDescent="0.25">
      <c r="A36" s="90"/>
      <c r="B36" s="48"/>
      <c r="C36" s="79"/>
      <c r="D36" s="79"/>
      <c r="E36" s="79"/>
      <c r="F36" s="79"/>
      <c r="G36" s="81"/>
      <c r="H36" s="40"/>
      <c r="I36" s="91"/>
      <c r="J36" s="91"/>
      <c r="K36" s="91"/>
      <c r="L36" s="73"/>
      <c r="M36" s="91"/>
      <c r="N36" s="73"/>
      <c r="O36" s="92"/>
      <c r="P36" s="81"/>
      <c r="Q36" s="83"/>
      <c r="R36" s="87"/>
      <c r="S36" s="87"/>
      <c r="T36" s="87"/>
      <c r="U36" s="87"/>
      <c r="V36" s="87"/>
      <c r="X36" s="457" t="s">
        <v>189</v>
      </c>
      <c r="Y36" s="452" t="s">
        <v>63</v>
      </c>
      <c r="Z36" s="453" t="s">
        <v>29</v>
      </c>
      <c r="AA36" s="453" t="s">
        <v>49</v>
      </c>
      <c r="AB36" s="542" t="s">
        <v>190</v>
      </c>
      <c r="AC36" s="454"/>
      <c r="AD36" s="672">
        <f>AD37+AD52</f>
        <v>112724.7</v>
      </c>
      <c r="AE36" s="634">
        <f>AE37+AE52</f>
        <v>92666</v>
      </c>
      <c r="AF36" s="645">
        <f>AF37+AF52</f>
        <v>92549</v>
      </c>
      <c r="AG36" s="180"/>
      <c r="AH36" s="180"/>
      <c r="AI36" s="147"/>
    </row>
    <row r="37" spans="1:35" ht="31.5" x14ac:dyDescent="0.25">
      <c r="A37" s="90"/>
      <c r="B37" s="48"/>
      <c r="C37" s="79"/>
      <c r="D37" s="79"/>
      <c r="E37" s="79"/>
      <c r="F37" s="79"/>
      <c r="G37" s="81"/>
      <c r="H37" s="40"/>
      <c r="I37" s="91"/>
      <c r="J37" s="91"/>
      <c r="K37" s="91"/>
      <c r="L37" s="73"/>
      <c r="M37" s="91"/>
      <c r="N37" s="73"/>
      <c r="O37" s="92"/>
      <c r="P37" s="81"/>
      <c r="Q37" s="83"/>
      <c r="R37" s="87"/>
      <c r="S37" s="87"/>
      <c r="T37" s="87"/>
      <c r="U37" s="87"/>
      <c r="V37" s="87"/>
      <c r="X37" s="457" t="s">
        <v>191</v>
      </c>
      <c r="Y37" s="452" t="s">
        <v>63</v>
      </c>
      <c r="Z37" s="453" t="s">
        <v>29</v>
      </c>
      <c r="AA37" s="453" t="s">
        <v>49</v>
      </c>
      <c r="AB37" s="542" t="s">
        <v>192</v>
      </c>
      <c r="AC37" s="454"/>
      <c r="AD37" s="672">
        <f>AD38</f>
        <v>112210.7</v>
      </c>
      <c r="AE37" s="634">
        <f>AE38</f>
        <v>92283</v>
      </c>
      <c r="AF37" s="645">
        <f>AF38</f>
        <v>92283</v>
      </c>
      <c r="AG37" s="180"/>
      <c r="AH37" s="180"/>
      <c r="AI37" s="147"/>
    </row>
    <row r="38" spans="1:35" x14ac:dyDescent="0.25">
      <c r="A38" s="90"/>
      <c r="B38" s="48"/>
      <c r="C38" s="79"/>
      <c r="D38" s="79"/>
      <c r="E38" s="79"/>
      <c r="F38" s="79"/>
      <c r="G38" s="81"/>
      <c r="H38" s="40"/>
      <c r="I38" s="91"/>
      <c r="J38" s="91"/>
      <c r="K38" s="91"/>
      <c r="L38" s="73"/>
      <c r="M38" s="91"/>
      <c r="N38" s="73"/>
      <c r="O38" s="92"/>
      <c r="P38" s="81"/>
      <c r="Q38" s="83"/>
      <c r="R38" s="87"/>
      <c r="S38" s="87"/>
      <c r="T38" s="87"/>
      <c r="U38" s="87"/>
      <c r="V38" s="87"/>
      <c r="X38" s="457" t="s">
        <v>195</v>
      </c>
      <c r="Y38" s="452" t="s">
        <v>63</v>
      </c>
      <c r="Z38" s="453" t="s">
        <v>29</v>
      </c>
      <c r="AA38" s="453" t="s">
        <v>49</v>
      </c>
      <c r="AB38" s="542" t="s">
        <v>196</v>
      </c>
      <c r="AC38" s="454"/>
      <c r="AD38" s="672">
        <f>AD39+AD46+AD49</f>
        <v>112210.7</v>
      </c>
      <c r="AE38" s="634">
        <f>AE39+AE46+AE49</f>
        <v>92283</v>
      </c>
      <c r="AF38" s="645">
        <f>AF39+AF46+AF49</f>
        <v>92283</v>
      </c>
      <c r="AG38" s="180"/>
      <c r="AH38" s="180"/>
      <c r="AI38" s="147"/>
    </row>
    <row r="39" spans="1:35" ht="31.5" x14ac:dyDescent="0.25">
      <c r="A39" s="90"/>
      <c r="B39" s="48"/>
      <c r="C39" s="79"/>
      <c r="D39" s="79"/>
      <c r="E39" s="79"/>
      <c r="F39" s="79"/>
      <c r="G39" s="81"/>
      <c r="H39" s="40"/>
      <c r="I39" s="91"/>
      <c r="J39" s="91"/>
      <c r="K39" s="91"/>
      <c r="L39" s="73"/>
      <c r="M39" s="91"/>
      <c r="N39" s="73"/>
      <c r="O39" s="92"/>
      <c r="P39" s="81"/>
      <c r="Q39" s="83"/>
      <c r="R39" s="87"/>
      <c r="S39" s="87"/>
      <c r="T39" s="87"/>
      <c r="U39" s="87"/>
      <c r="V39" s="87"/>
      <c r="X39" s="451" t="s">
        <v>197</v>
      </c>
      <c r="Y39" s="461" t="s">
        <v>63</v>
      </c>
      <c r="Z39" s="462" t="s">
        <v>29</v>
      </c>
      <c r="AA39" s="462" t="s">
        <v>49</v>
      </c>
      <c r="AB39" s="542" t="s">
        <v>198</v>
      </c>
      <c r="AC39" s="454"/>
      <c r="AD39" s="672">
        <f>AD42+AD40+AD44</f>
        <v>11242.3</v>
      </c>
      <c r="AE39" s="672">
        <f t="shared" ref="AE39:AF39" si="4">AE42+AE40+AE44</f>
        <v>9487.2999999999993</v>
      </c>
      <c r="AF39" s="672">
        <f t="shared" si="4"/>
        <v>9487.2999999999993</v>
      </c>
      <c r="AG39" s="180"/>
      <c r="AH39" s="180"/>
      <c r="AI39" s="147"/>
    </row>
    <row r="40" spans="1:35" ht="47.25" x14ac:dyDescent="0.25">
      <c r="A40" s="90"/>
      <c r="B40" s="48"/>
      <c r="C40" s="79"/>
      <c r="D40" s="79"/>
      <c r="E40" s="79"/>
      <c r="F40" s="79"/>
      <c r="G40" s="81"/>
      <c r="H40" s="40"/>
      <c r="I40" s="91"/>
      <c r="J40" s="91"/>
      <c r="K40" s="91"/>
      <c r="L40" s="73"/>
      <c r="M40" s="91"/>
      <c r="N40" s="73"/>
      <c r="O40" s="92"/>
      <c r="P40" s="81"/>
      <c r="Q40" s="83"/>
      <c r="R40" s="87"/>
      <c r="S40" s="87"/>
      <c r="T40" s="87"/>
      <c r="U40" s="87"/>
      <c r="V40" s="87"/>
      <c r="X40" s="451" t="s">
        <v>41</v>
      </c>
      <c r="Y40" s="452" t="s">
        <v>63</v>
      </c>
      <c r="Z40" s="453" t="s">
        <v>29</v>
      </c>
      <c r="AA40" s="453" t="s">
        <v>49</v>
      </c>
      <c r="AB40" s="542" t="s">
        <v>198</v>
      </c>
      <c r="AC40" s="482">
        <v>100</v>
      </c>
      <c r="AD40" s="672">
        <f>AD41</f>
        <v>50</v>
      </c>
      <c r="AE40" s="634">
        <f>AE41</f>
        <v>50</v>
      </c>
      <c r="AF40" s="645">
        <f>AF41</f>
        <v>50</v>
      </c>
      <c r="AG40" s="180"/>
      <c r="AH40" s="180"/>
      <c r="AI40" s="147"/>
    </row>
    <row r="41" spans="1:35" x14ac:dyDescent="0.25">
      <c r="A41" s="90"/>
      <c r="B41" s="48"/>
      <c r="C41" s="79"/>
      <c r="D41" s="79"/>
      <c r="E41" s="79"/>
      <c r="F41" s="79"/>
      <c r="G41" s="81"/>
      <c r="H41" s="40"/>
      <c r="I41" s="91"/>
      <c r="J41" s="91"/>
      <c r="K41" s="91"/>
      <c r="L41" s="73"/>
      <c r="M41" s="91"/>
      <c r="N41" s="73"/>
      <c r="O41" s="92"/>
      <c r="P41" s="81"/>
      <c r="Q41" s="83"/>
      <c r="R41" s="87"/>
      <c r="S41" s="87"/>
      <c r="T41" s="87"/>
      <c r="U41" s="87"/>
      <c r="V41" s="87"/>
      <c r="X41" s="451" t="s">
        <v>96</v>
      </c>
      <c r="Y41" s="452" t="s">
        <v>63</v>
      </c>
      <c r="Z41" s="453" t="s">
        <v>29</v>
      </c>
      <c r="AA41" s="453" t="s">
        <v>49</v>
      </c>
      <c r="AB41" s="542" t="s">
        <v>198</v>
      </c>
      <c r="AC41" s="454">
        <v>120</v>
      </c>
      <c r="AD41" s="672">
        <v>50</v>
      </c>
      <c r="AE41" s="634">
        <v>50</v>
      </c>
      <c r="AF41" s="645">
        <v>50</v>
      </c>
      <c r="AG41" s="180"/>
      <c r="AH41" s="180"/>
      <c r="AI41" s="147"/>
    </row>
    <row r="42" spans="1:35" x14ac:dyDescent="0.25">
      <c r="A42" s="90"/>
      <c r="B42" s="48"/>
      <c r="C42" s="79"/>
      <c r="D42" s="79"/>
      <c r="E42" s="79"/>
      <c r="F42" s="79"/>
      <c r="G42" s="81"/>
      <c r="H42" s="40"/>
      <c r="I42" s="91"/>
      <c r="J42" s="91"/>
      <c r="K42" s="91"/>
      <c r="L42" s="73"/>
      <c r="M42" s="91"/>
      <c r="N42" s="73"/>
      <c r="O42" s="92"/>
      <c r="P42" s="81"/>
      <c r="Q42" s="83"/>
      <c r="R42" s="87"/>
      <c r="S42" s="87"/>
      <c r="T42" s="87"/>
      <c r="U42" s="87"/>
      <c r="V42" s="87"/>
      <c r="X42" s="451" t="s">
        <v>120</v>
      </c>
      <c r="Y42" s="452" t="s">
        <v>63</v>
      </c>
      <c r="Z42" s="453" t="s">
        <v>29</v>
      </c>
      <c r="AA42" s="453" t="s">
        <v>49</v>
      </c>
      <c r="AB42" s="542" t="s">
        <v>198</v>
      </c>
      <c r="AC42" s="454">
        <v>200</v>
      </c>
      <c r="AD42" s="672">
        <f>AD43</f>
        <v>11192.199999999999</v>
      </c>
      <c r="AE42" s="634">
        <f>AE43</f>
        <v>9437.2999999999993</v>
      </c>
      <c r="AF42" s="645">
        <f>AF43</f>
        <v>9437.2999999999993</v>
      </c>
      <c r="AG42" s="180"/>
      <c r="AH42" s="180"/>
      <c r="AI42" s="147"/>
    </row>
    <row r="43" spans="1:35" ht="31.5" x14ac:dyDescent="0.25">
      <c r="A43" s="90"/>
      <c r="B43" s="48"/>
      <c r="C43" s="79"/>
      <c r="D43" s="79"/>
      <c r="E43" s="79"/>
      <c r="F43" s="79"/>
      <c r="G43" s="81"/>
      <c r="H43" s="40"/>
      <c r="I43" s="91"/>
      <c r="J43" s="91"/>
      <c r="K43" s="91"/>
      <c r="L43" s="73"/>
      <c r="M43" s="91"/>
      <c r="N43" s="73"/>
      <c r="O43" s="92"/>
      <c r="P43" s="81"/>
      <c r="Q43" s="83"/>
      <c r="R43" s="87"/>
      <c r="S43" s="87"/>
      <c r="T43" s="87"/>
      <c r="U43" s="87"/>
      <c r="V43" s="87"/>
      <c r="X43" s="451" t="s">
        <v>52</v>
      </c>
      <c r="Y43" s="452" t="s">
        <v>63</v>
      </c>
      <c r="Z43" s="453" t="s">
        <v>29</v>
      </c>
      <c r="AA43" s="453" t="s">
        <v>49</v>
      </c>
      <c r="AB43" s="542" t="s">
        <v>198</v>
      </c>
      <c r="AC43" s="454">
        <v>240</v>
      </c>
      <c r="AD43" s="672">
        <f>9437.3+537+218+1000-0.1</f>
        <v>11192.199999999999</v>
      </c>
      <c r="AE43" s="634">
        <v>9437.2999999999993</v>
      </c>
      <c r="AF43" s="645">
        <v>9437.2999999999993</v>
      </c>
      <c r="AG43" s="180"/>
      <c r="AH43" s="180"/>
      <c r="AI43" s="147"/>
    </row>
    <row r="44" spans="1:35" x14ac:dyDescent="0.25">
      <c r="A44" s="90"/>
      <c r="B44" s="48"/>
      <c r="C44" s="494"/>
      <c r="D44" s="494"/>
      <c r="E44" s="494"/>
      <c r="F44" s="494"/>
      <c r="G44" s="496"/>
      <c r="H44" s="40"/>
      <c r="I44" s="91"/>
      <c r="J44" s="91"/>
      <c r="K44" s="91"/>
      <c r="L44" s="492"/>
      <c r="M44" s="91"/>
      <c r="N44" s="492"/>
      <c r="O44" s="499"/>
      <c r="P44" s="496"/>
      <c r="Q44" s="497"/>
      <c r="R44" s="498"/>
      <c r="S44" s="498"/>
      <c r="T44" s="498"/>
      <c r="U44" s="498"/>
      <c r="V44" s="498"/>
      <c r="X44" s="451" t="s">
        <v>42</v>
      </c>
      <c r="Y44" s="452" t="s">
        <v>63</v>
      </c>
      <c r="Z44" s="453" t="s">
        <v>29</v>
      </c>
      <c r="AA44" s="453" t="s">
        <v>49</v>
      </c>
      <c r="AB44" s="542" t="s">
        <v>198</v>
      </c>
      <c r="AC44" s="454">
        <v>800</v>
      </c>
      <c r="AD44" s="672">
        <f>AD45</f>
        <v>0.1</v>
      </c>
      <c r="AE44" s="672">
        <f t="shared" ref="AE44:AF44" si="5">AE45</f>
        <v>0</v>
      </c>
      <c r="AF44" s="672">
        <f t="shared" si="5"/>
        <v>0</v>
      </c>
      <c r="AG44" s="506"/>
      <c r="AH44" s="506"/>
      <c r="AI44" s="502"/>
    </row>
    <row r="45" spans="1:35" x14ac:dyDescent="0.25">
      <c r="A45" s="90"/>
      <c r="B45" s="48"/>
      <c r="C45" s="494"/>
      <c r="D45" s="494"/>
      <c r="E45" s="494"/>
      <c r="F45" s="494"/>
      <c r="G45" s="496"/>
      <c r="H45" s="40"/>
      <c r="I45" s="91"/>
      <c r="J45" s="91"/>
      <c r="K45" s="91"/>
      <c r="L45" s="492"/>
      <c r="M45" s="91"/>
      <c r="N45" s="492"/>
      <c r="O45" s="499"/>
      <c r="P45" s="496"/>
      <c r="Q45" s="497"/>
      <c r="R45" s="498"/>
      <c r="S45" s="498"/>
      <c r="T45" s="498"/>
      <c r="U45" s="498"/>
      <c r="V45" s="498"/>
      <c r="X45" s="451" t="s">
        <v>57</v>
      </c>
      <c r="Y45" s="452" t="s">
        <v>63</v>
      </c>
      <c r="Z45" s="453" t="s">
        <v>29</v>
      </c>
      <c r="AA45" s="453" t="s">
        <v>49</v>
      </c>
      <c r="AB45" s="542" t="s">
        <v>198</v>
      </c>
      <c r="AC45" s="454">
        <v>850</v>
      </c>
      <c r="AD45" s="672">
        <v>0.1</v>
      </c>
      <c r="AE45" s="672">
        <v>0</v>
      </c>
      <c r="AF45" s="672">
        <v>0</v>
      </c>
      <c r="AG45" s="506"/>
      <c r="AH45" s="506"/>
      <c r="AI45" s="502"/>
    </row>
    <row r="46" spans="1:35" ht="31.5" x14ac:dyDescent="0.25">
      <c r="A46" s="90"/>
      <c r="B46" s="48"/>
      <c r="C46" s="79"/>
      <c r="D46" s="79"/>
      <c r="E46" s="79"/>
      <c r="F46" s="79"/>
      <c r="G46" s="81"/>
      <c r="H46" s="40"/>
      <c r="I46" s="91"/>
      <c r="J46" s="91"/>
      <c r="K46" s="91"/>
      <c r="L46" s="73"/>
      <c r="M46" s="91"/>
      <c r="N46" s="73"/>
      <c r="O46" s="92"/>
      <c r="P46" s="81"/>
      <c r="Q46" s="83"/>
      <c r="R46" s="87"/>
      <c r="S46" s="87"/>
      <c r="T46" s="87"/>
      <c r="U46" s="87"/>
      <c r="V46" s="87"/>
      <c r="X46" s="451" t="s">
        <v>199</v>
      </c>
      <c r="Y46" s="452" t="s">
        <v>63</v>
      </c>
      <c r="Z46" s="453" t="s">
        <v>29</v>
      </c>
      <c r="AA46" s="453" t="s">
        <v>49</v>
      </c>
      <c r="AB46" s="542" t="s">
        <v>200</v>
      </c>
      <c r="AC46" s="482"/>
      <c r="AD46" s="672">
        <f t="shared" ref="AD46:AF47" si="6">AD47</f>
        <v>28421.4</v>
      </c>
      <c r="AE46" s="634">
        <f t="shared" si="6"/>
        <v>28421.4</v>
      </c>
      <c r="AF46" s="645">
        <f t="shared" si="6"/>
        <v>28421.4</v>
      </c>
      <c r="AG46" s="180"/>
      <c r="AH46" s="180"/>
      <c r="AI46" s="147"/>
    </row>
    <row r="47" spans="1:35" ht="47.25" x14ac:dyDescent="0.25">
      <c r="A47" s="90"/>
      <c r="B47" s="48"/>
      <c r="C47" s="79"/>
      <c r="D47" s="79"/>
      <c r="E47" s="79"/>
      <c r="F47" s="79"/>
      <c r="G47" s="81"/>
      <c r="H47" s="40"/>
      <c r="I47" s="91"/>
      <c r="J47" s="91"/>
      <c r="K47" s="91"/>
      <c r="L47" s="73"/>
      <c r="M47" s="91"/>
      <c r="N47" s="73"/>
      <c r="O47" s="92"/>
      <c r="P47" s="81"/>
      <c r="Q47" s="83"/>
      <c r="R47" s="87"/>
      <c r="S47" s="87"/>
      <c r="T47" s="87"/>
      <c r="U47" s="87"/>
      <c r="V47" s="87"/>
      <c r="X47" s="451" t="s">
        <v>41</v>
      </c>
      <c r="Y47" s="452" t="s">
        <v>63</v>
      </c>
      <c r="Z47" s="453" t="s">
        <v>29</v>
      </c>
      <c r="AA47" s="453" t="s">
        <v>49</v>
      </c>
      <c r="AB47" s="542" t="s">
        <v>200</v>
      </c>
      <c r="AC47" s="482">
        <v>100</v>
      </c>
      <c r="AD47" s="672">
        <f t="shared" si="6"/>
        <v>28421.4</v>
      </c>
      <c r="AE47" s="634">
        <f t="shared" si="6"/>
        <v>28421.4</v>
      </c>
      <c r="AF47" s="645">
        <f t="shared" si="6"/>
        <v>28421.4</v>
      </c>
      <c r="AG47" s="180"/>
      <c r="AH47" s="180"/>
      <c r="AI47" s="147"/>
    </row>
    <row r="48" spans="1:35" x14ac:dyDescent="0.25">
      <c r="A48" s="90"/>
      <c r="B48" s="48"/>
      <c r="C48" s="79"/>
      <c r="D48" s="79"/>
      <c r="E48" s="79"/>
      <c r="F48" s="79"/>
      <c r="G48" s="81"/>
      <c r="H48" s="40"/>
      <c r="I48" s="91"/>
      <c r="J48" s="91"/>
      <c r="K48" s="91"/>
      <c r="L48" s="73"/>
      <c r="M48" s="91"/>
      <c r="N48" s="73"/>
      <c r="O48" s="92"/>
      <c r="P48" s="81"/>
      <c r="Q48" s="83"/>
      <c r="R48" s="87"/>
      <c r="S48" s="87"/>
      <c r="T48" s="87"/>
      <c r="U48" s="87"/>
      <c r="V48" s="87"/>
      <c r="X48" s="451" t="s">
        <v>96</v>
      </c>
      <c r="Y48" s="452" t="s">
        <v>63</v>
      </c>
      <c r="Z48" s="453" t="s">
        <v>29</v>
      </c>
      <c r="AA48" s="453" t="s">
        <v>49</v>
      </c>
      <c r="AB48" s="542" t="s">
        <v>200</v>
      </c>
      <c r="AC48" s="454">
        <v>120</v>
      </c>
      <c r="AD48" s="672">
        <v>28421.4</v>
      </c>
      <c r="AE48" s="634">
        <v>28421.4</v>
      </c>
      <c r="AF48" s="645">
        <v>28421.4</v>
      </c>
      <c r="AG48" s="180"/>
      <c r="AH48" s="180"/>
      <c r="AI48" s="147"/>
    </row>
    <row r="49" spans="1:35" ht="31.5" x14ac:dyDescent="0.25">
      <c r="A49" s="90"/>
      <c r="B49" s="48"/>
      <c r="C49" s="79"/>
      <c r="D49" s="79"/>
      <c r="E49" s="79"/>
      <c r="F49" s="79"/>
      <c r="G49" s="81"/>
      <c r="H49" s="40"/>
      <c r="I49" s="91"/>
      <c r="J49" s="91"/>
      <c r="K49" s="91"/>
      <c r="L49" s="73"/>
      <c r="M49" s="91"/>
      <c r="N49" s="73"/>
      <c r="O49" s="92"/>
      <c r="P49" s="81"/>
      <c r="Q49" s="83"/>
      <c r="R49" s="87"/>
      <c r="S49" s="87"/>
      <c r="T49" s="87"/>
      <c r="U49" s="87"/>
      <c r="V49" s="87"/>
      <c r="X49" s="451" t="s">
        <v>201</v>
      </c>
      <c r="Y49" s="452" t="s">
        <v>63</v>
      </c>
      <c r="Z49" s="453" t="s">
        <v>29</v>
      </c>
      <c r="AA49" s="453" t="s">
        <v>49</v>
      </c>
      <c r="AB49" s="542" t="s">
        <v>202</v>
      </c>
      <c r="AC49" s="482"/>
      <c r="AD49" s="672">
        <f t="shared" ref="AD49:AF50" si="7">AD50</f>
        <v>72547</v>
      </c>
      <c r="AE49" s="634">
        <f t="shared" si="7"/>
        <v>54374.3</v>
      </c>
      <c r="AF49" s="645">
        <f t="shared" si="7"/>
        <v>54374.3</v>
      </c>
      <c r="AG49" s="180"/>
      <c r="AH49" s="180"/>
      <c r="AI49" s="147"/>
    </row>
    <row r="50" spans="1:35" ht="47.25" x14ac:dyDescent="0.25">
      <c r="A50" s="90"/>
      <c r="B50" s="48"/>
      <c r="C50" s="79"/>
      <c r="D50" s="79"/>
      <c r="E50" s="79"/>
      <c r="F50" s="79"/>
      <c r="G50" s="81"/>
      <c r="H50" s="40"/>
      <c r="I50" s="91"/>
      <c r="J50" s="91"/>
      <c r="K50" s="91"/>
      <c r="L50" s="73"/>
      <c r="M50" s="91"/>
      <c r="N50" s="73"/>
      <c r="O50" s="92"/>
      <c r="P50" s="81"/>
      <c r="Q50" s="83"/>
      <c r="R50" s="87"/>
      <c r="S50" s="87"/>
      <c r="T50" s="87"/>
      <c r="U50" s="87"/>
      <c r="V50" s="87"/>
      <c r="X50" s="451" t="s">
        <v>41</v>
      </c>
      <c r="Y50" s="452" t="s">
        <v>63</v>
      </c>
      <c r="Z50" s="453" t="s">
        <v>29</v>
      </c>
      <c r="AA50" s="453" t="s">
        <v>49</v>
      </c>
      <c r="AB50" s="542" t="s">
        <v>202</v>
      </c>
      <c r="AC50" s="482">
        <v>100</v>
      </c>
      <c r="AD50" s="672">
        <f t="shared" si="7"/>
        <v>72547</v>
      </c>
      <c r="AE50" s="634">
        <f t="shared" si="7"/>
        <v>54374.3</v>
      </c>
      <c r="AF50" s="645">
        <f t="shared" si="7"/>
        <v>54374.3</v>
      </c>
      <c r="AG50" s="180"/>
      <c r="AH50" s="180"/>
      <c r="AI50" s="147"/>
    </row>
    <row r="51" spans="1:35" x14ac:dyDescent="0.25">
      <c r="A51" s="90"/>
      <c r="B51" s="48"/>
      <c r="C51" s="79"/>
      <c r="D51" s="79"/>
      <c r="E51" s="79"/>
      <c r="F51" s="79"/>
      <c r="G51" s="81"/>
      <c r="H51" s="40"/>
      <c r="I51" s="91"/>
      <c r="J51" s="91"/>
      <c r="K51" s="91"/>
      <c r="L51" s="73"/>
      <c r="M51" s="91"/>
      <c r="N51" s="73"/>
      <c r="O51" s="92"/>
      <c r="P51" s="81"/>
      <c r="Q51" s="83"/>
      <c r="R51" s="87"/>
      <c r="S51" s="87"/>
      <c r="T51" s="87"/>
      <c r="U51" s="87"/>
      <c r="V51" s="87"/>
      <c r="X51" s="451" t="s">
        <v>96</v>
      </c>
      <c r="Y51" s="452" t="s">
        <v>63</v>
      </c>
      <c r="Z51" s="453" t="s">
        <v>29</v>
      </c>
      <c r="AA51" s="453" t="s">
        <v>49</v>
      </c>
      <c r="AB51" s="542" t="s">
        <v>202</v>
      </c>
      <c r="AC51" s="454">
        <v>120</v>
      </c>
      <c r="AD51" s="672">
        <f>54374.3+18172.7</f>
        <v>72547</v>
      </c>
      <c r="AE51" s="634">
        <v>54374.3</v>
      </c>
      <c r="AF51" s="645">
        <v>54374.3</v>
      </c>
      <c r="AG51" s="180"/>
      <c r="AH51" s="180"/>
      <c r="AI51" s="147"/>
    </row>
    <row r="52" spans="1:35" ht="31.5" x14ac:dyDescent="0.25">
      <c r="A52" s="90"/>
      <c r="B52" s="48"/>
      <c r="C52" s="79"/>
      <c r="D52" s="79"/>
      <c r="E52" s="79"/>
      <c r="F52" s="79"/>
      <c r="G52" s="81"/>
      <c r="H52" s="40"/>
      <c r="I52" s="91"/>
      <c r="J52" s="91"/>
      <c r="K52" s="91"/>
      <c r="L52" s="73"/>
      <c r="M52" s="91"/>
      <c r="N52" s="73"/>
      <c r="O52" s="92"/>
      <c r="P52" s="81"/>
      <c r="Q52" s="83"/>
      <c r="R52" s="87"/>
      <c r="S52" s="87"/>
      <c r="T52" s="87"/>
      <c r="U52" s="87"/>
      <c r="V52" s="87"/>
      <c r="X52" s="451" t="s">
        <v>534</v>
      </c>
      <c r="Y52" s="452" t="s">
        <v>63</v>
      </c>
      <c r="Z52" s="453" t="s">
        <v>29</v>
      </c>
      <c r="AA52" s="453" t="s">
        <v>49</v>
      </c>
      <c r="AB52" s="544" t="s">
        <v>535</v>
      </c>
      <c r="AC52" s="454"/>
      <c r="AD52" s="672">
        <f>AD53</f>
        <v>514</v>
      </c>
      <c r="AE52" s="634">
        <f t="shared" ref="AE52:AF54" si="8">AE53</f>
        <v>383</v>
      </c>
      <c r="AF52" s="645">
        <f t="shared" si="8"/>
        <v>266</v>
      </c>
      <c r="AG52" s="180"/>
      <c r="AH52" s="180"/>
      <c r="AI52" s="147"/>
    </row>
    <row r="53" spans="1:35" ht="78.75" x14ac:dyDescent="0.25">
      <c r="A53" s="90"/>
      <c r="B53" s="48"/>
      <c r="C53" s="79"/>
      <c r="D53" s="79"/>
      <c r="E53" s="79"/>
      <c r="F53" s="79"/>
      <c r="G53" s="81"/>
      <c r="H53" s="40"/>
      <c r="I53" s="91"/>
      <c r="J53" s="91"/>
      <c r="K53" s="91"/>
      <c r="L53" s="73"/>
      <c r="M53" s="91"/>
      <c r="N53" s="73"/>
      <c r="O53" s="92"/>
      <c r="P53" s="81"/>
      <c r="Q53" s="83"/>
      <c r="R53" s="87"/>
      <c r="S53" s="87"/>
      <c r="T53" s="87"/>
      <c r="U53" s="87"/>
      <c r="V53" s="87"/>
      <c r="X53" s="451" t="s">
        <v>406</v>
      </c>
      <c r="Y53" s="452" t="s">
        <v>63</v>
      </c>
      <c r="Z53" s="453" t="s">
        <v>29</v>
      </c>
      <c r="AA53" s="453" t="s">
        <v>49</v>
      </c>
      <c r="AB53" s="542" t="s">
        <v>536</v>
      </c>
      <c r="AC53" s="454"/>
      <c r="AD53" s="672">
        <f>AD54</f>
        <v>514</v>
      </c>
      <c r="AE53" s="634">
        <f t="shared" si="8"/>
        <v>383</v>
      </c>
      <c r="AF53" s="645">
        <f t="shared" si="8"/>
        <v>266</v>
      </c>
      <c r="AG53" s="180"/>
      <c r="AH53" s="180"/>
      <c r="AI53" s="147"/>
    </row>
    <row r="54" spans="1:35" x14ac:dyDescent="0.25">
      <c r="A54" s="90"/>
      <c r="B54" s="48"/>
      <c r="C54" s="79"/>
      <c r="D54" s="79"/>
      <c r="E54" s="79"/>
      <c r="F54" s="79"/>
      <c r="G54" s="81"/>
      <c r="H54" s="40"/>
      <c r="I54" s="91"/>
      <c r="J54" s="91"/>
      <c r="K54" s="91"/>
      <c r="L54" s="73"/>
      <c r="M54" s="91"/>
      <c r="N54" s="73"/>
      <c r="O54" s="92"/>
      <c r="P54" s="81"/>
      <c r="Q54" s="83"/>
      <c r="R54" s="87"/>
      <c r="S54" s="87"/>
      <c r="T54" s="87"/>
      <c r="U54" s="87"/>
      <c r="V54" s="87"/>
      <c r="X54" s="451" t="s">
        <v>120</v>
      </c>
      <c r="Y54" s="452" t="s">
        <v>63</v>
      </c>
      <c r="Z54" s="453" t="s">
        <v>29</v>
      </c>
      <c r="AA54" s="453" t="s">
        <v>49</v>
      </c>
      <c r="AB54" s="542" t="s">
        <v>536</v>
      </c>
      <c r="AC54" s="454">
        <v>200</v>
      </c>
      <c r="AD54" s="672">
        <f>AD55</f>
        <v>514</v>
      </c>
      <c r="AE54" s="634">
        <f t="shared" si="8"/>
        <v>383</v>
      </c>
      <c r="AF54" s="645">
        <f t="shared" si="8"/>
        <v>266</v>
      </c>
      <c r="AG54" s="180"/>
      <c r="AH54" s="180"/>
      <c r="AI54" s="147"/>
    </row>
    <row r="55" spans="1:35" ht="31.5" x14ac:dyDescent="0.25">
      <c r="A55" s="90"/>
      <c r="B55" s="48"/>
      <c r="C55" s="79"/>
      <c r="D55" s="79"/>
      <c r="E55" s="79"/>
      <c r="F55" s="79"/>
      <c r="G55" s="81"/>
      <c r="H55" s="40"/>
      <c r="I55" s="91"/>
      <c r="J55" s="91"/>
      <c r="K55" s="91"/>
      <c r="L55" s="73"/>
      <c r="M55" s="91"/>
      <c r="N55" s="73"/>
      <c r="O55" s="92"/>
      <c r="P55" s="81"/>
      <c r="Q55" s="83"/>
      <c r="R55" s="87"/>
      <c r="S55" s="87"/>
      <c r="T55" s="87"/>
      <c r="U55" s="87"/>
      <c r="V55" s="87"/>
      <c r="X55" s="451" t="s">
        <v>52</v>
      </c>
      <c r="Y55" s="452" t="s">
        <v>63</v>
      </c>
      <c r="Z55" s="453" t="s">
        <v>29</v>
      </c>
      <c r="AA55" s="453" t="s">
        <v>49</v>
      </c>
      <c r="AB55" s="542" t="s">
        <v>536</v>
      </c>
      <c r="AC55" s="454">
        <v>240</v>
      </c>
      <c r="AD55" s="672">
        <f>460+60-3-3</f>
        <v>514</v>
      </c>
      <c r="AE55" s="634">
        <f>253+130</f>
        <v>383</v>
      </c>
      <c r="AF55" s="645">
        <f>196+70</f>
        <v>266</v>
      </c>
      <c r="AG55" s="180"/>
      <c r="AH55" s="180"/>
      <c r="AI55" s="147"/>
    </row>
    <row r="56" spans="1:35" ht="31.5" x14ac:dyDescent="0.25">
      <c r="A56" s="90"/>
      <c r="B56" s="48"/>
      <c r="C56" s="79"/>
      <c r="D56" s="79"/>
      <c r="E56" s="79"/>
      <c r="F56" s="79"/>
      <c r="G56" s="81"/>
      <c r="H56" s="40"/>
      <c r="I56" s="91"/>
      <c r="J56" s="91"/>
      <c r="K56" s="91"/>
      <c r="L56" s="73"/>
      <c r="M56" s="91"/>
      <c r="N56" s="73"/>
      <c r="O56" s="92"/>
      <c r="P56" s="81"/>
      <c r="Q56" s="83"/>
      <c r="R56" s="87"/>
      <c r="S56" s="87"/>
      <c r="T56" s="87"/>
      <c r="U56" s="87"/>
      <c r="V56" s="87"/>
      <c r="X56" s="459" t="s">
        <v>298</v>
      </c>
      <c r="Y56" s="452" t="s">
        <v>63</v>
      </c>
      <c r="Z56" s="453" t="s">
        <v>29</v>
      </c>
      <c r="AA56" s="453" t="s">
        <v>49</v>
      </c>
      <c r="AB56" s="542" t="s">
        <v>132</v>
      </c>
      <c r="AC56" s="454"/>
      <c r="AD56" s="672">
        <f t="shared" ref="AD56:AF58" si="9">AD57</f>
        <v>9408.4</v>
      </c>
      <c r="AE56" s="634">
        <f t="shared" si="9"/>
        <v>3000</v>
      </c>
      <c r="AF56" s="645">
        <f t="shared" si="9"/>
        <v>3000</v>
      </c>
      <c r="AG56" s="180"/>
      <c r="AH56" s="180"/>
      <c r="AI56" s="147"/>
    </row>
    <row r="57" spans="1:35" ht="47.25" x14ac:dyDescent="0.25">
      <c r="A57" s="90"/>
      <c r="B57" s="48"/>
      <c r="C57" s="79"/>
      <c r="D57" s="79"/>
      <c r="E57" s="79"/>
      <c r="F57" s="79"/>
      <c r="G57" s="81"/>
      <c r="H57" s="40"/>
      <c r="I57" s="91"/>
      <c r="J57" s="91"/>
      <c r="K57" s="91"/>
      <c r="L57" s="73"/>
      <c r="M57" s="91"/>
      <c r="N57" s="73"/>
      <c r="O57" s="92"/>
      <c r="P57" s="81"/>
      <c r="Q57" s="83"/>
      <c r="R57" s="87"/>
      <c r="S57" s="87"/>
      <c r="T57" s="87"/>
      <c r="U57" s="87"/>
      <c r="V57" s="87"/>
      <c r="X57" s="656" t="s">
        <v>515</v>
      </c>
      <c r="Y57" s="452" t="s">
        <v>63</v>
      </c>
      <c r="Z57" s="453" t="s">
        <v>29</v>
      </c>
      <c r="AA57" s="453" t="s">
        <v>49</v>
      </c>
      <c r="AB57" s="542" t="s">
        <v>300</v>
      </c>
      <c r="AC57" s="454"/>
      <c r="AD57" s="672">
        <f t="shared" si="9"/>
        <v>9408.4</v>
      </c>
      <c r="AE57" s="634">
        <f t="shared" si="9"/>
        <v>3000</v>
      </c>
      <c r="AF57" s="645">
        <f t="shared" si="9"/>
        <v>3000</v>
      </c>
      <c r="AG57" s="180"/>
      <c r="AH57" s="180"/>
      <c r="AI57" s="147"/>
    </row>
    <row r="58" spans="1:35" ht="31.5" x14ac:dyDescent="0.25">
      <c r="A58" s="90"/>
      <c r="B58" s="48"/>
      <c r="C58" s="79"/>
      <c r="D58" s="79"/>
      <c r="E58" s="79"/>
      <c r="F58" s="79"/>
      <c r="G58" s="81"/>
      <c r="H58" s="40"/>
      <c r="I58" s="91"/>
      <c r="J58" s="91"/>
      <c r="K58" s="91"/>
      <c r="L58" s="73"/>
      <c r="M58" s="91"/>
      <c r="N58" s="73"/>
      <c r="O58" s="92"/>
      <c r="P58" s="81"/>
      <c r="Q58" s="83"/>
      <c r="R58" s="87"/>
      <c r="S58" s="87"/>
      <c r="T58" s="87"/>
      <c r="U58" s="87"/>
      <c r="V58" s="87"/>
      <c r="X58" s="657" t="s">
        <v>301</v>
      </c>
      <c r="Y58" s="452" t="s">
        <v>63</v>
      </c>
      <c r="Z58" s="453" t="s">
        <v>29</v>
      </c>
      <c r="AA58" s="453" t="s">
        <v>49</v>
      </c>
      <c r="AB58" s="542" t="s">
        <v>302</v>
      </c>
      <c r="AC58" s="454"/>
      <c r="AD58" s="672">
        <f t="shared" si="9"/>
        <v>9408.4</v>
      </c>
      <c r="AE58" s="634">
        <f t="shared" si="9"/>
        <v>3000</v>
      </c>
      <c r="AF58" s="645">
        <f t="shared" si="9"/>
        <v>3000</v>
      </c>
      <c r="AG58" s="180"/>
      <c r="AH58" s="180"/>
      <c r="AI58" s="147"/>
    </row>
    <row r="59" spans="1:35" ht="94.5" x14ac:dyDescent="0.25">
      <c r="A59" s="90"/>
      <c r="B59" s="48"/>
      <c r="C59" s="79"/>
      <c r="D59" s="79"/>
      <c r="E59" s="79"/>
      <c r="F59" s="79"/>
      <c r="G59" s="81"/>
      <c r="H59" s="40"/>
      <c r="I59" s="91"/>
      <c r="J59" s="91"/>
      <c r="K59" s="91"/>
      <c r="L59" s="73"/>
      <c r="M59" s="91"/>
      <c r="N59" s="73"/>
      <c r="O59" s="92"/>
      <c r="P59" s="81"/>
      <c r="Q59" s="83"/>
      <c r="R59" s="87"/>
      <c r="S59" s="87"/>
      <c r="T59" s="87"/>
      <c r="U59" s="87"/>
      <c r="V59" s="87"/>
      <c r="X59" s="657" t="s">
        <v>677</v>
      </c>
      <c r="Y59" s="452" t="s">
        <v>63</v>
      </c>
      <c r="Z59" s="453" t="s">
        <v>29</v>
      </c>
      <c r="AA59" s="453" t="s">
        <v>49</v>
      </c>
      <c r="AB59" s="544" t="s">
        <v>303</v>
      </c>
      <c r="AC59" s="454"/>
      <c r="AD59" s="672">
        <f t="shared" ref="AD59:AF60" si="10">AD60</f>
        <v>9408.4</v>
      </c>
      <c r="AE59" s="634">
        <f t="shared" si="10"/>
        <v>3000</v>
      </c>
      <c r="AF59" s="645">
        <f t="shared" si="10"/>
        <v>3000</v>
      </c>
      <c r="AG59" s="180"/>
      <c r="AH59" s="180"/>
      <c r="AI59" s="147"/>
    </row>
    <row r="60" spans="1:35" x14ac:dyDescent="0.25">
      <c r="A60" s="90"/>
      <c r="B60" s="48"/>
      <c r="C60" s="79"/>
      <c r="D60" s="79"/>
      <c r="E60" s="79"/>
      <c r="F60" s="79"/>
      <c r="G60" s="81"/>
      <c r="H60" s="40"/>
      <c r="I60" s="91"/>
      <c r="J60" s="91"/>
      <c r="K60" s="91"/>
      <c r="L60" s="73"/>
      <c r="M60" s="91"/>
      <c r="N60" s="73"/>
      <c r="O60" s="92"/>
      <c r="P60" s="81"/>
      <c r="Q60" s="83"/>
      <c r="R60" s="87"/>
      <c r="S60" s="87"/>
      <c r="T60" s="87"/>
      <c r="U60" s="87"/>
      <c r="V60" s="87"/>
      <c r="X60" s="451" t="s">
        <v>120</v>
      </c>
      <c r="Y60" s="452" t="s">
        <v>63</v>
      </c>
      <c r="Z60" s="453" t="s">
        <v>29</v>
      </c>
      <c r="AA60" s="453" t="s">
        <v>49</v>
      </c>
      <c r="AB60" s="544" t="s">
        <v>303</v>
      </c>
      <c r="AC60" s="454">
        <v>200</v>
      </c>
      <c r="AD60" s="672">
        <f t="shared" si="10"/>
        <v>9408.4</v>
      </c>
      <c r="AE60" s="634">
        <f t="shared" si="10"/>
        <v>3000</v>
      </c>
      <c r="AF60" s="645">
        <f t="shared" si="10"/>
        <v>3000</v>
      </c>
      <c r="AG60" s="180"/>
      <c r="AH60" s="180"/>
      <c r="AI60" s="147"/>
    </row>
    <row r="61" spans="1:35" ht="31.5" x14ac:dyDescent="0.25">
      <c r="A61" s="90"/>
      <c r="B61" s="48"/>
      <c r="C61" s="79"/>
      <c r="D61" s="79"/>
      <c r="E61" s="79"/>
      <c r="F61" s="79"/>
      <c r="G61" s="81"/>
      <c r="H61" s="40"/>
      <c r="I61" s="91"/>
      <c r="J61" s="91"/>
      <c r="K61" s="91"/>
      <c r="L61" s="73"/>
      <c r="M61" s="91"/>
      <c r="N61" s="73"/>
      <c r="O61" s="92"/>
      <c r="P61" s="81"/>
      <c r="Q61" s="83"/>
      <c r="R61" s="87"/>
      <c r="S61" s="87"/>
      <c r="T61" s="87"/>
      <c r="U61" s="87"/>
      <c r="V61" s="87"/>
      <c r="X61" s="451" t="s">
        <v>52</v>
      </c>
      <c r="Y61" s="452" t="s">
        <v>63</v>
      </c>
      <c r="Z61" s="453" t="s">
        <v>29</v>
      </c>
      <c r="AA61" s="453" t="s">
        <v>49</v>
      </c>
      <c r="AB61" s="544" t="s">
        <v>303</v>
      </c>
      <c r="AC61" s="454">
        <v>240</v>
      </c>
      <c r="AD61" s="672">
        <f>6608.4+500+2300</f>
        <v>9408.4</v>
      </c>
      <c r="AE61" s="634">
        <v>3000</v>
      </c>
      <c r="AF61" s="645">
        <v>3000</v>
      </c>
      <c r="AG61" s="266"/>
      <c r="AH61" s="180"/>
      <c r="AI61" s="147"/>
    </row>
    <row r="62" spans="1:35" x14ac:dyDescent="0.25">
      <c r="A62" s="90"/>
      <c r="B62" s="48"/>
      <c r="C62" s="79"/>
      <c r="D62" s="79"/>
      <c r="E62" s="79"/>
      <c r="F62" s="79"/>
      <c r="G62" s="81"/>
      <c r="H62" s="40"/>
      <c r="I62" s="91"/>
      <c r="J62" s="91"/>
      <c r="K62" s="91"/>
      <c r="L62" s="73"/>
      <c r="M62" s="91"/>
      <c r="N62" s="73"/>
      <c r="O62" s="92"/>
      <c r="P62" s="81"/>
      <c r="Q62" s="83"/>
      <c r="R62" s="87"/>
      <c r="S62" s="87"/>
      <c r="T62" s="87"/>
      <c r="U62" s="87"/>
      <c r="V62" s="87"/>
      <c r="X62" s="451" t="s">
        <v>43</v>
      </c>
      <c r="Y62" s="452" t="s">
        <v>63</v>
      </c>
      <c r="Z62" s="453" t="s">
        <v>29</v>
      </c>
      <c r="AA62" s="453" t="s">
        <v>8</v>
      </c>
      <c r="AB62" s="542"/>
      <c r="AC62" s="454"/>
      <c r="AD62" s="672">
        <f t="shared" ref="AD62:AF65" si="11">AD63</f>
        <v>6400</v>
      </c>
      <c r="AE62" s="634">
        <f t="shared" si="11"/>
        <v>0</v>
      </c>
      <c r="AF62" s="645">
        <f t="shared" si="11"/>
        <v>0</v>
      </c>
      <c r="AG62" s="180"/>
      <c r="AH62" s="180"/>
      <c r="AI62" s="147"/>
    </row>
    <row r="63" spans="1:35" x14ac:dyDescent="0.25">
      <c r="A63" s="90"/>
      <c r="B63" s="48"/>
      <c r="C63" s="79"/>
      <c r="D63" s="79"/>
      <c r="E63" s="79"/>
      <c r="F63" s="79"/>
      <c r="G63" s="81"/>
      <c r="H63" s="40"/>
      <c r="I63" s="91"/>
      <c r="J63" s="91"/>
      <c r="K63" s="91"/>
      <c r="L63" s="73"/>
      <c r="M63" s="91"/>
      <c r="N63" s="73"/>
      <c r="O63" s="92"/>
      <c r="P63" s="81"/>
      <c r="Q63" s="83"/>
      <c r="R63" s="87"/>
      <c r="S63" s="87"/>
      <c r="T63" s="87"/>
      <c r="U63" s="87"/>
      <c r="V63" s="87"/>
      <c r="X63" s="658" t="s">
        <v>332</v>
      </c>
      <c r="Y63" s="452" t="s">
        <v>63</v>
      </c>
      <c r="Z63" s="453" t="s">
        <v>29</v>
      </c>
      <c r="AA63" s="453" t="s">
        <v>8</v>
      </c>
      <c r="AB63" s="542" t="s">
        <v>137</v>
      </c>
      <c r="AC63" s="454"/>
      <c r="AD63" s="672">
        <f t="shared" si="11"/>
        <v>6400</v>
      </c>
      <c r="AE63" s="634">
        <f t="shared" si="11"/>
        <v>0</v>
      </c>
      <c r="AF63" s="645">
        <f t="shared" si="11"/>
        <v>0</v>
      </c>
      <c r="AG63" s="180"/>
      <c r="AH63" s="180"/>
      <c r="AI63" s="147"/>
    </row>
    <row r="64" spans="1:35" x14ac:dyDescent="0.25">
      <c r="A64" s="90"/>
      <c r="B64" s="48"/>
      <c r="C64" s="79"/>
      <c r="D64" s="79"/>
      <c r="E64" s="79"/>
      <c r="F64" s="79"/>
      <c r="G64" s="81"/>
      <c r="H64" s="40"/>
      <c r="I64" s="91"/>
      <c r="J64" s="91"/>
      <c r="K64" s="91"/>
      <c r="L64" s="73"/>
      <c r="M64" s="91"/>
      <c r="N64" s="73"/>
      <c r="O64" s="92"/>
      <c r="P64" s="81"/>
      <c r="Q64" s="83"/>
      <c r="R64" s="87"/>
      <c r="S64" s="87"/>
      <c r="T64" s="87"/>
      <c r="U64" s="87"/>
      <c r="V64" s="87"/>
      <c r="X64" s="451" t="s">
        <v>614</v>
      </c>
      <c r="Y64" s="461" t="s">
        <v>63</v>
      </c>
      <c r="Z64" s="453" t="s">
        <v>29</v>
      </c>
      <c r="AA64" s="453" t="s">
        <v>8</v>
      </c>
      <c r="AB64" s="542" t="s">
        <v>615</v>
      </c>
      <c r="AC64" s="454"/>
      <c r="AD64" s="672">
        <f t="shared" si="11"/>
        <v>6400</v>
      </c>
      <c r="AE64" s="634">
        <f t="shared" si="11"/>
        <v>0</v>
      </c>
      <c r="AF64" s="645">
        <f t="shared" si="11"/>
        <v>0</v>
      </c>
      <c r="AG64" s="180"/>
      <c r="AH64" s="180"/>
      <c r="AI64" s="147"/>
    </row>
    <row r="65" spans="1:35" x14ac:dyDescent="0.25">
      <c r="A65" s="90"/>
      <c r="B65" s="48"/>
      <c r="C65" s="79"/>
      <c r="D65" s="79"/>
      <c r="E65" s="79"/>
      <c r="F65" s="79"/>
      <c r="G65" s="81"/>
      <c r="H65" s="40"/>
      <c r="I65" s="91"/>
      <c r="J65" s="91"/>
      <c r="K65" s="91"/>
      <c r="L65" s="73"/>
      <c r="M65" s="91"/>
      <c r="N65" s="73"/>
      <c r="O65" s="92"/>
      <c r="P65" s="81"/>
      <c r="Q65" s="83"/>
      <c r="R65" s="87"/>
      <c r="S65" s="87"/>
      <c r="T65" s="87"/>
      <c r="U65" s="87"/>
      <c r="V65" s="87"/>
      <c r="X65" s="451" t="s">
        <v>42</v>
      </c>
      <c r="Y65" s="452" t="s">
        <v>63</v>
      </c>
      <c r="Z65" s="453" t="s">
        <v>29</v>
      </c>
      <c r="AA65" s="453" t="s">
        <v>8</v>
      </c>
      <c r="AB65" s="542" t="s">
        <v>615</v>
      </c>
      <c r="AC65" s="454">
        <v>800</v>
      </c>
      <c r="AD65" s="672">
        <f t="shared" si="11"/>
        <v>6400</v>
      </c>
      <c r="AE65" s="634">
        <f t="shared" si="11"/>
        <v>0</v>
      </c>
      <c r="AF65" s="645">
        <f t="shared" si="11"/>
        <v>0</v>
      </c>
      <c r="AG65" s="180"/>
      <c r="AH65" s="180"/>
      <c r="AI65" s="147"/>
    </row>
    <row r="66" spans="1:35" x14ac:dyDescent="0.25">
      <c r="A66" s="90"/>
      <c r="B66" s="48"/>
      <c r="C66" s="79"/>
      <c r="D66" s="79"/>
      <c r="E66" s="79"/>
      <c r="F66" s="79"/>
      <c r="G66" s="81"/>
      <c r="H66" s="40"/>
      <c r="I66" s="91"/>
      <c r="J66" s="91"/>
      <c r="K66" s="91"/>
      <c r="L66" s="73"/>
      <c r="M66" s="91"/>
      <c r="N66" s="73"/>
      <c r="O66" s="92"/>
      <c r="P66" s="81"/>
      <c r="Q66" s="83"/>
      <c r="R66" s="87"/>
      <c r="S66" s="87"/>
      <c r="T66" s="87"/>
      <c r="U66" s="87"/>
      <c r="V66" s="87"/>
      <c r="X66" s="451" t="s">
        <v>621</v>
      </c>
      <c r="Y66" s="452" t="s">
        <v>63</v>
      </c>
      <c r="Z66" s="453" t="s">
        <v>29</v>
      </c>
      <c r="AA66" s="453" t="s">
        <v>8</v>
      </c>
      <c r="AB66" s="542" t="s">
        <v>615</v>
      </c>
      <c r="AC66" s="454">
        <v>880</v>
      </c>
      <c r="AD66" s="672">
        <v>6400</v>
      </c>
      <c r="AE66" s="634">
        <v>0</v>
      </c>
      <c r="AF66" s="645">
        <v>0</v>
      </c>
      <c r="AG66" s="180"/>
      <c r="AH66" s="180"/>
      <c r="AI66" s="147"/>
    </row>
    <row r="67" spans="1:35" x14ac:dyDescent="0.25">
      <c r="A67" s="47"/>
      <c r="B67" s="78"/>
      <c r="C67" s="79"/>
      <c r="D67" s="79"/>
      <c r="E67" s="79"/>
      <c r="F67" s="79"/>
      <c r="G67" s="81"/>
      <c r="H67" s="81"/>
      <c r="I67" s="81"/>
      <c r="J67" s="81"/>
      <c r="K67" s="81"/>
      <c r="L67" s="73"/>
      <c r="M67" s="81"/>
      <c r="N67" s="73"/>
      <c r="O67" s="82"/>
      <c r="P67" s="81"/>
      <c r="Q67" s="83"/>
      <c r="R67" s="87"/>
      <c r="S67" s="87"/>
      <c r="T67" s="87"/>
      <c r="U67" s="87"/>
      <c r="V67" s="87"/>
      <c r="W67" s="87"/>
      <c r="X67" s="451" t="s">
        <v>2</v>
      </c>
      <c r="Y67" s="452" t="s">
        <v>63</v>
      </c>
      <c r="Z67" s="453" t="s">
        <v>29</v>
      </c>
      <c r="AA67" s="453">
        <v>11</v>
      </c>
      <c r="AB67" s="545"/>
      <c r="AC67" s="454"/>
      <c r="AD67" s="672">
        <f t="shared" ref="AD67:AF67" si="12">AD68</f>
        <v>1000</v>
      </c>
      <c r="AE67" s="634">
        <f t="shared" si="12"/>
        <v>0</v>
      </c>
      <c r="AF67" s="645">
        <f t="shared" si="12"/>
        <v>0</v>
      </c>
      <c r="AG67" s="180"/>
      <c r="AH67" s="180"/>
      <c r="AI67" s="147"/>
    </row>
    <row r="68" spans="1:35" x14ac:dyDescent="0.25">
      <c r="A68" s="90"/>
      <c r="B68" s="78"/>
      <c r="C68" s="79"/>
      <c r="D68" s="79"/>
      <c r="E68" s="79"/>
      <c r="F68" s="79"/>
      <c r="G68" s="81"/>
      <c r="H68" s="40"/>
      <c r="I68" s="91"/>
      <c r="J68" s="91"/>
      <c r="K68" s="91"/>
      <c r="L68" s="73"/>
      <c r="M68" s="91"/>
      <c r="N68" s="73"/>
      <c r="O68" s="82"/>
      <c r="P68" s="41"/>
      <c r="Q68" s="83"/>
      <c r="R68" s="84"/>
      <c r="S68" s="87"/>
      <c r="T68" s="87"/>
      <c r="U68" s="87"/>
      <c r="V68" s="87"/>
      <c r="X68" s="451" t="s">
        <v>332</v>
      </c>
      <c r="Y68" s="452" t="s">
        <v>63</v>
      </c>
      <c r="Z68" s="453" t="s">
        <v>29</v>
      </c>
      <c r="AA68" s="453">
        <v>11</v>
      </c>
      <c r="AB68" s="541" t="s">
        <v>137</v>
      </c>
      <c r="AC68" s="454"/>
      <c r="AD68" s="672">
        <f>AD69</f>
        <v>1000</v>
      </c>
      <c r="AE68" s="634">
        <f>AE69</f>
        <v>0</v>
      </c>
      <c r="AF68" s="645">
        <f>AF69</f>
        <v>0</v>
      </c>
      <c r="AG68" s="180"/>
      <c r="AH68" s="180"/>
      <c r="AI68" s="147"/>
    </row>
    <row r="69" spans="1:35" ht="31.5" x14ac:dyDescent="0.25">
      <c r="A69" s="90"/>
      <c r="B69" s="78"/>
      <c r="C69" s="79"/>
      <c r="D69" s="79"/>
      <c r="E69" s="79"/>
      <c r="F69" s="79"/>
      <c r="G69" s="81"/>
      <c r="H69" s="40"/>
      <c r="I69" s="91"/>
      <c r="J69" s="91"/>
      <c r="K69" s="91"/>
      <c r="L69" s="73"/>
      <c r="M69" s="91"/>
      <c r="N69" s="73"/>
      <c r="O69" s="82"/>
      <c r="P69" s="41"/>
      <c r="Q69" s="83"/>
      <c r="R69" s="84"/>
      <c r="S69" s="87"/>
      <c r="T69" s="87"/>
      <c r="U69" s="87"/>
      <c r="V69" s="87"/>
      <c r="X69" s="465" t="s">
        <v>325</v>
      </c>
      <c r="Y69" s="452" t="s">
        <v>63</v>
      </c>
      <c r="Z69" s="453" t="s">
        <v>29</v>
      </c>
      <c r="AA69" s="453">
        <v>11</v>
      </c>
      <c r="AB69" s="542" t="s">
        <v>326</v>
      </c>
      <c r="AC69" s="454"/>
      <c r="AD69" s="672">
        <f t="shared" ref="AD69:AF70" si="13">AD70</f>
        <v>1000</v>
      </c>
      <c r="AE69" s="634">
        <f t="shared" si="13"/>
        <v>0</v>
      </c>
      <c r="AF69" s="645">
        <f t="shared" si="13"/>
        <v>0</v>
      </c>
      <c r="AG69" s="180"/>
      <c r="AH69" s="180"/>
      <c r="AI69" s="147"/>
    </row>
    <row r="70" spans="1:35" x14ac:dyDescent="0.25">
      <c r="A70" s="90"/>
      <c r="B70" s="78"/>
      <c r="C70" s="79"/>
      <c r="D70" s="79"/>
      <c r="E70" s="79"/>
      <c r="F70" s="79"/>
      <c r="G70" s="81"/>
      <c r="H70" s="40"/>
      <c r="I70" s="91"/>
      <c r="J70" s="91"/>
      <c r="K70" s="91"/>
      <c r="L70" s="73"/>
      <c r="M70" s="91"/>
      <c r="N70" s="73"/>
      <c r="O70" s="82"/>
      <c r="P70" s="41"/>
      <c r="Q70" s="83"/>
      <c r="R70" s="84"/>
      <c r="S70" s="87"/>
      <c r="T70" s="87"/>
      <c r="U70" s="87"/>
      <c r="V70" s="87"/>
      <c r="X70" s="451" t="s">
        <v>42</v>
      </c>
      <c r="Y70" s="452" t="s">
        <v>63</v>
      </c>
      <c r="Z70" s="453" t="s">
        <v>29</v>
      </c>
      <c r="AA70" s="453">
        <v>11</v>
      </c>
      <c r="AB70" s="542" t="s">
        <v>326</v>
      </c>
      <c r="AC70" s="454">
        <v>800</v>
      </c>
      <c r="AD70" s="672">
        <f t="shared" si="13"/>
        <v>1000</v>
      </c>
      <c r="AE70" s="634">
        <f t="shared" si="13"/>
        <v>0</v>
      </c>
      <c r="AF70" s="645">
        <f t="shared" si="13"/>
        <v>0</v>
      </c>
      <c r="AG70" s="180"/>
      <c r="AH70" s="180"/>
      <c r="AI70" s="147"/>
    </row>
    <row r="71" spans="1:35" x14ac:dyDescent="0.25">
      <c r="A71" s="90"/>
      <c r="B71" s="78"/>
      <c r="C71" s="79"/>
      <c r="D71" s="79"/>
      <c r="E71" s="79"/>
      <c r="F71" s="79"/>
      <c r="G71" s="81"/>
      <c r="H71" s="40"/>
      <c r="I71" s="91"/>
      <c r="J71" s="91"/>
      <c r="K71" s="91"/>
      <c r="L71" s="73"/>
      <c r="M71" s="91"/>
      <c r="N71" s="73"/>
      <c r="O71" s="82"/>
      <c r="P71" s="41"/>
      <c r="Q71" s="83"/>
      <c r="R71" s="84"/>
      <c r="S71" s="87"/>
      <c r="T71" s="87"/>
      <c r="U71" s="87"/>
      <c r="V71" s="87"/>
      <c r="X71" s="451" t="s">
        <v>136</v>
      </c>
      <c r="Y71" s="452" t="s">
        <v>63</v>
      </c>
      <c r="Z71" s="453" t="s">
        <v>29</v>
      </c>
      <c r="AA71" s="453">
        <v>11</v>
      </c>
      <c r="AB71" s="542" t="s">
        <v>326</v>
      </c>
      <c r="AC71" s="454">
        <v>870</v>
      </c>
      <c r="AD71" s="672">
        <v>1000</v>
      </c>
      <c r="AE71" s="634">
        <v>0</v>
      </c>
      <c r="AF71" s="645">
        <v>0</v>
      </c>
      <c r="AG71" s="180"/>
      <c r="AH71" s="180"/>
      <c r="AI71" s="147"/>
    </row>
    <row r="72" spans="1:35" x14ac:dyDescent="0.25">
      <c r="A72" s="47"/>
      <c r="B72" s="78"/>
      <c r="C72" s="79"/>
      <c r="D72" s="79"/>
      <c r="E72" s="79"/>
      <c r="F72" s="79"/>
      <c r="G72" s="81"/>
      <c r="H72" s="81"/>
      <c r="I72" s="81"/>
      <c r="J72" s="81"/>
      <c r="K72" s="81"/>
      <c r="L72" s="73"/>
      <c r="M72" s="81"/>
      <c r="N72" s="73"/>
      <c r="O72" s="82"/>
      <c r="P72" s="81"/>
      <c r="Q72" s="83"/>
      <c r="R72" s="87"/>
      <c r="S72" s="87"/>
      <c r="T72" s="87"/>
      <c r="U72" s="87"/>
      <c r="V72" s="87"/>
      <c r="W72" s="87"/>
      <c r="X72" s="451" t="s">
        <v>14</v>
      </c>
      <c r="Y72" s="452" t="s">
        <v>63</v>
      </c>
      <c r="Z72" s="453" t="s">
        <v>29</v>
      </c>
      <c r="AA72" s="453">
        <v>13</v>
      </c>
      <c r="AB72" s="545"/>
      <c r="AC72" s="454"/>
      <c r="AD72" s="672">
        <f>AD73+AD123+AD129+AD135</f>
        <v>202048.8</v>
      </c>
      <c r="AE72" s="634">
        <f>AE73+AE123+AE129+AE135</f>
        <v>145144</v>
      </c>
      <c r="AF72" s="645">
        <f>AF73+AF123+AF129+AF135</f>
        <v>130823.1</v>
      </c>
      <c r="AG72" s="180"/>
      <c r="AH72" s="180"/>
      <c r="AI72" s="147"/>
    </row>
    <row r="73" spans="1:35" x14ac:dyDescent="0.25">
      <c r="A73" s="93"/>
      <c r="B73" s="78"/>
      <c r="C73" s="79"/>
      <c r="D73" s="79"/>
      <c r="E73" s="80"/>
      <c r="F73" s="79"/>
      <c r="G73" s="79"/>
      <c r="H73" s="94"/>
      <c r="I73" s="91"/>
      <c r="J73" s="91"/>
      <c r="K73" s="91"/>
      <c r="L73" s="73"/>
      <c r="M73" s="91"/>
      <c r="N73" s="73"/>
      <c r="O73" s="82"/>
      <c r="P73" s="41"/>
      <c r="Q73" s="83"/>
      <c r="R73" s="84"/>
      <c r="S73" s="87"/>
      <c r="T73" s="87"/>
      <c r="U73" s="87"/>
      <c r="V73" s="87"/>
      <c r="X73" s="457" t="s">
        <v>186</v>
      </c>
      <c r="Y73" s="452" t="s">
        <v>63</v>
      </c>
      <c r="Z73" s="453" t="s">
        <v>29</v>
      </c>
      <c r="AA73" s="453">
        <v>13</v>
      </c>
      <c r="AB73" s="542" t="s">
        <v>112</v>
      </c>
      <c r="AC73" s="454"/>
      <c r="AD73" s="672">
        <f>AD74+AD89</f>
        <v>144549.19999999998</v>
      </c>
      <c r="AE73" s="634">
        <f>AE74+AE89</f>
        <v>91589</v>
      </c>
      <c r="AF73" s="645">
        <f>AF74+AF89</f>
        <v>77763.900000000009</v>
      </c>
      <c r="AG73" s="180"/>
      <c r="AH73" s="180"/>
      <c r="AI73" s="147"/>
    </row>
    <row r="74" spans="1:35" x14ac:dyDescent="0.25">
      <c r="A74" s="93"/>
      <c r="B74" s="78"/>
      <c r="C74" s="79"/>
      <c r="D74" s="79"/>
      <c r="E74" s="80"/>
      <c r="F74" s="79"/>
      <c r="G74" s="79"/>
      <c r="H74" s="94"/>
      <c r="I74" s="91"/>
      <c r="J74" s="91"/>
      <c r="K74" s="91"/>
      <c r="L74" s="73"/>
      <c r="M74" s="91"/>
      <c r="N74" s="73"/>
      <c r="O74" s="82"/>
      <c r="P74" s="41"/>
      <c r="Q74" s="83"/>
      <c r="R74" s="84"/>
      <c r="S74" s="87"/>
      <c r="T74" s="87"/>
      <c r="U74" s="87"/>
      <c r="V74" s="87"/>
      <c r="X74" s="659" t="s">
        <v>530</v>
      </c>
      <c r="Y74" s="452" t="s">
        <v>63</v>
      </c>
      <c r="Z74" s="453" t="s">
        <v>29</v>
      </c>
      <c r="AA74" s="453">
        <v>13</v>
      </c>
      <c r="AB74" s="542" t="s">
        <v>113</v>
      </c>
      <c r="AC74" s="454"/>
      <c r="AD74" s="672">
        <f>AD75+AD83</f>
        <v>14155.699999999999</v>
      </c>
      <c r="AE74" s="634">
        <f>AE75+AE83</f>
        <v>14155.699999999999</v>
      </c>
      <c r="AF74" s="645">
        <f>AF75+AF83</f>
        <v>328.6</v>
      </c>
      <c r="AG74" s="180"/>
      <c r="AH74" s="180"/>
      <c r="AI74" s="147"/>
    </row>
    <row r="75" spans="1:35" ht="31.5" x14ac:dyDescent="0.25">
      <c r="A75" s="93"/>
      <c r="B75" s="78"/>
      <c r="C75" s="79"/>
      <c r="D75" s="79"/>
      <c r="E75" s="80"/>
      <c r="F75" s="79"/>
      <c r="G75" s="79"/>
      <c r="H75" s="94"/>
      <c r="I75" s="91"/>
      <c r="J75" s="91"/>
      <c r="K75" s="91"/>
      <c r="L75" s="73"/>
      <c r="M75" s="91"/>
      <c r="N75" s="73"/>
      <c r="O75" s="82"/>
      <c r="P75" s="41"/>
      <c r="Q75" s="83"/>
      <c r="R75" s="84"/>
      <c r="S75" s="87"/>
      <c r="T75" s="87"/>
      <c r="U75" s="87"/>
      <c r="V75" s="87"/>
      <c r="X75" s="466" t="s">
        <v>182</v>
      </c>
      <c r="Y75" s="452" t="s">
        <v>63</v>
      </c>
      <c r="Z75" s="453" t="s">
        <v>29</v>
      </c>
      <c r="AA75" s="453">
        <v>13</v>
      </c>
      <c r="AB75" s="542" t="s">
        <v>183</v>
      </c>
      <c r="AC75" s="454"/>
      <c r="AD75" s="672">
        <f>AD76</f>
        <v>13827.099999999999</v>
      </c>
      <c r="AE75" s="634">
        <f>AE76</f>
        <v>13827.099999999999</v>
      </c>
      <c r="AF75" s="645">
        <f>AF76</f>
        <v>0</v>
      </c>
      <c r="AG75" s="180"/>
      <c r="AH75" s="180"/>
      <c r="AI75" s="147"/>
    </row>
    <row r="76" spans="1:35" ht="34.5" customHeight="1" x14ac:dyDescent="0.25">
      <c r="A76" s="93"/>
      <c r="B76" s="78"/>
      <c r="C76" s="79"/>
      <c r="D76" s="79"/>
      <c r="E76" s="80"/>
      <c r="F76" s="79"/>
      <c r="G76" s="79"/>
      <c r="H76" s="94"/>
      <c r="I76" s="91"/>
      <c r="J76" s="91"/>
      <c r="K76" s="91"/>
      <c r="L76" s="73"/>
      <c r="M76" s="91"/>
      <c r="N76" s="73"/>
      <c r="O76" s="82"/>
      <c r="P76" s="41"/>
      <c r="Q76" s="83"/>
      <c r="R76" s="84"/>
      <c r="S76" s="87"/>
      <c r="T76" s="87"/>
      <c r="U76" s="87"/>
      <c r="V76" s="87"/>
      <c r="X76" s="465" t="s">
        <v>774</v>
      </c>
      <c r="Y76" s="452" t="s">
        <v>63</v>
      </c>
      <c r="Z76" s="453" t="s">
        <v>29</v>
      </c>
      <c r="AA76" s="453">
        <v>13</v>
      </c>
      <c r="AB76" s="542" t="s">
        <v>185</v>
      </c>
      <c r="AC76" s="482"/>
      <c r="AD76" s="672">
        <f>AD81+AD79+AD77</f>
        <v>13827.099999999999</v>
      </c>
      <c r="AE76" s="634">
        <f t="shared" ref="AE76:AF76" si="14">AE81+AE79</f>
        <v>13827.099999999999</v>
      </c>
      <c r="AF76" s="645">
        <f t="shared" si="14"/>
        <v>0</v>
      </c>
      <c r="AG76" s="180"/>
      <c r="AH76" s="180"/>
      <c r="AI76" s="147"/>
    </row>
    <row r="77" spans="1:35" ht="20.25" customHeight="1" x14ac:dyDescent="0.25">
      <c r="A77" s="93"/>
      <c r="B77" s="493"/>
      <c r="C77" s="494"/>
      <c r="D77" s="494"/>
      <c r="E77" s="495"/>
      <c r="F77" s="494"/>
      <c r="G77" s="494"/>
      <c r="H77" s="94"/>
      <c r="I77" s="91"/>
      <c r="J77" s="91"/>
      <c r="K77" s="91"/>
      <c r="L77" s="492"/>
      <c r="M77" s="91"/>
      <c r="N77" s="492"/>
      <c r="O77" s="82"/>
      <c r="P77" s="41"/>
      <c r="Q77" s="497"/>
      <c r="R77" s="84"/>
      <c r="S77" s="498"/>
      <c r="T77" s="498"/>
      <c r="U77" s="498"/>
      <c r="V77" s="498"/>
      <c r="X77" s="451" t="s">
        <v>120</v>
      </c>
      <c r="Y77" s="452" t="s">
        <v>63</v>
      </c>
      <c r="Z77" s="453" t="s">
        <v>29</v>
      </c>
      <c r="AA77" s="453">
        <v>13</v>
      </c>
      <c r="AB77" s="542" t="s">
        <v>185</v>
      </c>
      <c r="AC77" s="482">
        <v>200</v>
      </c>
      <c r="AD77" s="672">
        <f>AD78</f>
        <v>45.9</v>
      </c>
      <c r="AE77" s="672">
        <f t="shared" ref="AE77:AF77" si="15">AE78</f>
        <v>0</v>
      </c>
      <c r="AF77" s="672">
        <f t="shared" si="15"/>
        <v>0</v>
      </c>
      <c r="AG77" s="506"/>
      <c r="AH77" s="506"/>
      <c r="AI77" s="502"/>
    </row>
    <row r="78" spans="1:35" ht="23.25" customHeight="1" x14ac:dyDescent="0.25">
      <c r="A78" s="93"/>
      <c r="B78" s="493"/>
      <c r="C78" s="494"/>
      <c r="D78" s="494"/>
      <c r="E78" s="495"/>
      <c r="F78" s="494"/>
      <c r="G78" s="494"/>
      <c r="H78" s="94"/>
      <c r="I78" s="91"/>
      <c r="J78" s="91"/>
      <c r="K78" s="91"/>
      <c r="L78" s="492"/>
      <c r="M78" s="91"/>
      <c r="N78" s="492"/>
      <c r="O78" s="82"/>
      <c r="P78" s="41"/>
      <c r="Q78" s="497"/>
      <c r="R78" s="84"/>
      <c r="S78" s="498"/>
      <c r="T78" s="498"/>
      <c r="U78" s="498"/>
      <c r="V78" s="498"/>
      <c r="X78" s="451" t="s">
        <v>52</v>
      </c>
      <c r="Y78" s="452" t="s">
        <v>63</v>
      </c>
      <c r="Z78" s="453" t="s">
        <v>29</v>
      </c>
      <c r="AA78" s="453">
        <v>13</v>
      </c>
      <c r="AB78" s="542" t="s">
        <v>185</v>
      </c>
      <c r="AC78" s="482">
        <v>240</v>
      </c>
      <c r="AD78" s="672">
        <f>30+15.9</f>
        <v>45.9</v>
      </c>
      <c r="AE78" s="634">
        <v>0</v>
      </c>
      <c r="AF78" s="645">
        <v>0</v>
      </c>
      <c r="AG78" s="506"/>
      <c r="AH78" s="506"/>
      <c r="AI78" s="502"/>
    </row>
    <row r="79" spans="1:35" x14ac:dyDescent="0.25">
      <c r="A79" s="93"/>
      <c r="B79" s="78"/>
      <c r="C79" s="79"/>
      <c r="D79" s="79"/>
      <c r="E79" s="80"/>
      <c r="F79" s="79"/>
      <c r="G79" s="79"/>
      <c r="H79" s="94"/>
      <c r="I79" s="91"/>
      <c r="J79" s="91"/>
      <c r="K79" s="91"/>
      <c r="L79" s="73"/>
      <c r="M79" s="91"/>
      <c r="N79" s="73"/>
      <c r="O79" s="82"/>
      <c r="P79" s="41"/>
      <c r="Q79" s="83"/>
      <c r="R79" s="84"/>
      <c r="S79" s="87"/>
      <c r="T79" s="87"/>
      <c r="U79" s="87"/>
      <c r="V79" s="87"/>
      <c r="X79" s="451" t="s">
        <v>97</v>
      </c>
      <c r="Y79" s="452" t="s">
        <v>63</v>
      </c>
      <c r="Z79" s="453" t="s">
        <v>29</v>
      </c>
      <c r="AA79" s="453">
        <v>13</v>
      </c>
      <c r="AB79" s="542" t="s">
        <v>185</v>
      </c>
      <c r="AC79" s="454">
        <v>300</v>
      </c>
      <c r="AD79" s="672">
        <f>AD80</f>
        <v>2233.2999999999997</v>
      </c>
      <c r="AE79" s="634">
        <f>AE80</f>
        <v>2279.1999999999998</v>
      </c>
      <c r="AF79" s="645">
        <f>AF80</f>
        <v>0</v>
      </c>
      <c r="AG79" s="180"/>
      <c r="AH79" s="180"/>
      <c r="AI79" s="147"/>
    </row>
    <row r="80" spans="1:35" x14ac:dyDescent="0.25">
      <c r="A80" s="93"/>
      <c r="B80" s="78"/>
      <c r="C80" s="79"/>
      <c r="D80" s="79"/>
      <c r="E80" s="80"/>
      <c r="F80" s="79"/>
      <c r="G80" s="79"/>
      <c r="H80" s="94"/>
      <c r="I80" s="91"/>
      <c r="J80" s="91"/>
      <c r="K80" s="91"/>
      <c r="L80" s="73"/>
      <c r="M80" s="91"/>
      <c r="N80" s="73"/>
      <c r="O80" s="82"/>
      <c r="P80" s="41"/>
      <c r="Q80" s="83"/>
      <c r="R80" s="84"/>
      <c r="S80" s="87"/>
      <c r="T80" s="87"/>
      <c r="U80" s="87"/>
      <c r="V80" s="87"/>
      <c r="X80" s="451" t="s">
        <v>421</v>
      </c>
      <c r="Y80" s="452" t="s">
        <v>63</v>
      </c>
      <c r="Z80" s="453" t="s">
        <v>29</v>
      </c>
      <c r="AA80" s="453">
        <v>13</v>
      </c>
      <c r="AB80" s="542" t="s">
        <v>185</v>
      </c>
      <c r="AC80" s="454">
        <v>360</v>
      </c>
      <c r="AD80" s="672">
        <f>2279.2-30-15.9</f>
        <v>2233.2999999999997</v>
      </c>
      <c r="AE80" s="634">
        <v>2279.1999999999998</v>
      </c>
      <c r="AF80" s="645">
        <v>0</v>
      </c>
      <c r="AG80" s="180"/>
      <c r="AH80" s="180"/>
      <c r="AI80" s="147"/>
    </row>
    <row r="81" spans="1:35" ht="31.5" x14ac:dyDescent="0.25">
      <c r="A81" s="93"/>
      <c r="B81" s="78"/>
      <c r="C81" s="79"/>
      <c r="D81" s="79"/>
      <c r="E81" s="80"/>
      <c r="F81" s="79"/>
      <c r="G81" s="79"/>
      <c r="H81" s="94"/>
      <c r="I81" s="91"/>
      <c r="J81" s="91"/>
      <c r="K81" s="91"/>
      <c r="L81" s="73"/>
      <c r="M81" s="91"/>
      <c r="N81" s="73"/>
      <c r="O81" s="82"/>
      <c r="P81" s="41"/>
      <c r="Q81" s="83"/>
      <c r="R81" s="84"/>
      <c r="S81" s="87"/>
      <c r="T81" s="87"/>
      <c r="U81" s="87"/>
      <c r="V81" s="87"/>
      <c r="X81" s="451" t="s">
        <v>60</v>
      </c>
      <c r="Y81" s="452" t="s">
        <v>63</v>
      </c>
      <c r="Z81" s="453" t="s">
        <v>29</v>
      </c>
      <c r="AA81" s="453">
        <v>13</v>
      </c>
      <c r="AB81" s="542" t="s">
        <v>185</v>
      </c>
      <c r="AC81" s="454">
        <v>600</v>
      </c>
      <c r="AD81" s="672">
        <f>AD82</f>
        <v>11547.9</v>
      </c>
      <c r="AE81" s="634">
        <f>AE82</f>
        <v>11547.9</v>
      </c>
      <c r="AF81" s="645">
        <f>AF82</f>
        <v>0</v>
      </c>
      <c r="AG81" s="180"/>
      <c r="AH81" s="180"/>
      <c r="AI81" s="147"/>
    </row>
    <row r="82" spans="1:35" x14ac:dyDescent="0.25">
      <c r="A82" s="93"/>
      <c r="B82" s="78"/>
      <c r="C82" s="79"/>
      <c r="D82" s="79"/>
      <c r="E82" s="80"/>
      <c r="F82" s="79"/>
      <c r="G82" s="79"/>
      <c r="H82" s="94"/>
      <c r="I82" s="91"/>
      <c r="J82" s="91"/>
      <c r="K82" s="91"/>
      <c r="L82" s="73"/>
      <c r="M82" s="91"/>
      <c r="N82" s="73"/>
      <c r="O82" s="82"/>
      <c r="P82" s="41"/>
      <c r="Q82" s="83"/>
      <c r="R82" s="84"/>
      <c r="S82" s="87"/>
      <c r="T82" s="87"/>
      <c r="U82" s="87"/>
      <c r="V82" s="87"/>
      <c r="X82" s="451" t="s">
        <v>61</v>
      </c>
      <c r="Y82" s="452" t="s">
        <v>63</v>
      </c>
      <c r="Z82" s="453" t="s">
        <v>29</v>
      </c>
      <c r="AA82" s="453">
        <v>13</v>
      </c>
      <c r="AB82" s="542" t="s">
        <v>185</v>
      </c>
      <c r="AC82" s="454">
        <v>610</v>
      </c>
      <c r="AD82" s="672">
        <f>11547.9</f>
        <v>11547.9</v>
      </c>
      <c r="AE82" s="634">
        <v>11547.9</v>
      </c>
      <c r="AF82" s="645">
        <v>0</v>
      </c>
      <c r="AG82" s="180"/>
      <c r="AH82" s="180"/>
      <c r="AI82" s="147"/>
    </row>
    <row r="83" spans="1:35" ht="47.25" x14ac:dyDescent="0.25">
      <c r="A83" s="93"/>
      <c r="B83" s="78"/>
      <c r="C83" s="79"/>
      <c r="D83" s="79"/>
      <c r="E83" s="80"/>
      <c r="F83" s="79"/>
      <c r="G83" s="79"/>
      <c r="H83" s="94"/>
      <c r="I83" s="91"/>
      <c r="J83" s="91"/>
      <c r="K83" s="91"/>
      <c r="L83" s="73"/>
      <c r="M83" s="91"/>
      <c r="N83" s="73"/>
      <c r="O83" s="82"/>
      <c r="P83" s="41"/>
      <c r="Q83" s="83"/>
      <c r="R83" s="84"/>
      <c r="S83" s="87"/>
      <c r="T83" s="87"/>
      <c r="U83" s="87"/>
      <c r="V83" s="87"/>
      <c r="X83" s="466" t="s">
        <v>722</v>
      </c>
      <c r="Y83" s="452" t="s">
        <v>63</v>
      </c>
      <c r="Z83" s="453" t="s">
        <v>29</v>
      </c>
      <c r="AA83" s="453">
        <v>13</v>
      </c>
      <c r="AB83" s="542" t="s">
        <v>187</v>
      </c>
      <c r="AC83" s="470"/>
      <c r="AD83" s="672">
        <f>AD84</f>
        <v>328.6</v>
      </c>
      <c r="AE83" s="634">
        <f>AE84</f>
        <v>328.6</v>
      </c>
      <c r="AF83" s="645">
        <f>AF84</f>
        <v>328.6</v>
      </c>
      <c r="AG83" s="180"/>
      <c r="AH83" s="180"/>
      <c r="AI83" s="147"/>
    </row>
    <row r="84" spans="1:35" ht="47.25" x14ac:dyDescent="0.25">
      <c r="A84" s="93"/>
      <c r="B84" s="78"/>
      <c r="C84" s="79"/>
      <c r="D84" s="79"/>
      <c r="E84" s="80"/>
      <c r="F84" s="79"/>
      <c r="G84" s="79"/>
      <c r="H84" s="94"/>
      <c r="I84" s="91"/>
      <c r="J84" s="91"/>
      <c r="K84" s="91"/>
      <c r="L84" s="73"/>
      <c r="M84" s="91"/>
      <c r="N84" s="73"/>
      <c r="O84" s="82"/>
      <c r="P84" s="41"/>
      <c r="Q84" s="83"/>
      <c r="R84" s="84"/>
      <c r="S84" s="87"/>
      <c r="T84" s="87"/>
      <c r="U84" s="87"/>
      <c r="V84" s="87"/>
      <c r="X84" s="466" t="s">
        <v>611</v>
      </c>
      <c r="Y84" s="452" t="s">
        <v>63</v>
      </c>
      <c r="Z84" s="453" t="s">
        <v>29</v>
      </c>
      <c r="AA84" s="453">
        <v>13</v>
      </c>
      <c r="AB84" s="542" t="s">
        <v>610</v>
      </c>
      <c r="AC84" s="470"/>
      <c r="AD84" s="672">
        <f>AD85+AD87</f>
        <v>328.6</v>
      </c>
      <c r="AE84" s="672">
        <f t="shared" ref="AE84:AF84" si="16">AE85+AE87</f>
        <v>328.6</v>
      </c>
      <c r="AF84" s="672">
        <f t="shared" si="16"/>
        <v>328.6</v>
      </c>
      <c r="AG84" s="180"/>
      <c r="AH84" s="180"/>
      <c r="AI84" s="147"/>
    </row>
    <row r="85" spans="1:35" ht="47.25" x14ac:dyDescent="0.25">
      <c r="A85" s="93"/>
      <c r="B85" s="78"/>
      <c r="C85" s="79"/>
      <c r="D85" s="79"/>
      <c r="E85" s="80"/>
      <c r="F85" s="79"/>
      <c r="G85" s="79"/>
      <c r="H85" s="94"/>
      <c r="I85" s="91"/>
      <c r="J85" s="91"/>
      <c r="K85" s="91"/>
      <c r="L85" s="73"/>
      <c r="M85" s="91"/>
      <c r="N85" s="73"/>
      <c r="O85" s="82"/>
      <c r="P85" s="41"/>
      <c r="Q85" s="83"/>
      <c r="R85" s="84"/>
      <c r="S85" s="87"/>
      <c r="T85" s="87"/>
      <c r="U85" s="87"/>
      <c r="V85" s="87"/>
      <c r="X85" s="451" t="s">
        <v>41</v>
      </c>
      <c r="Y85" s="452" t="s">
        <v>63</v>
      </c>
      <c r="Z85" s="453" t="s">
        <v>29</v>
      </c>
      <c r="AA85" s="453">
        <v>13</v>
      </c>
      <c r="AB85" s="542" t="s">
        <v>610</v>
      </c>
      <c r="AC85" s="470">
        <v>100</v>
      </c>
      <c r="AD85" s="672">
        <f>AD86</f>
        <v>307.90000000000003</v>
      </c>
      <c r="AE85" s="634">
        <f>AE86</f>
        <v>328.6</v>
      </c>
      <c r="AF85" s="645">
        <f>AF86</f>
        <v>328.6</v>
      </c>
      <c r="AG85" s="180"/>
      <c r="AH85" s="180"/>
      <c r="AI85" s="147"/>
    </row>
    <row r="86" spans="1:35" x14ac:dyDescent="0.25">
      <c r="A86" s="93"/>
      <c r="B86" s="78"/>
      <c r="C86" s="79"/>
      <c r="D86" s="79"/>
      <c r="E86" s="80"/>
      <c r="F86" s="79"/>
      <c r="G86" s="79"/>
      <c r="H86" s="94"/>
      <c r="I86" s="91"/>
      <c r="J86" s="91"/>
      <c r="K86" s="91"/>
      <c r="L86" s="73"/>
      <c r="M86" s="91"/>
      <c r="N86" s="73"/>
      <c r="O86" s="82"/>
      <c r="P86" s="41"/>
      <c r="Q86" s="83"/>
      <c r="R86" s="84"/>
      <c r="S86" s="87"/>
      <c r="T86" s="87"/>
      <c r="U86" s="87"/>
      <c r="V86" s="87"/>
      <c r="X86" s="654" t="s">
        <v>96</v>
      </c>
      <c r="Y86" s="452" t="s">
        <v>63</v>
      </c>
      <c r="Z86" s="453" t="s">
        <v>29</v>
      </c>
      <c r="AA86" s="453">
        <v>13</v>
      </c>
      <c r="AB86" s="542" t="s">
        <v>610</v>
      </c>
      <c r="AC86" s="470">
        <v>120</v>
      </c>
      <c r="AD86" s="672">
        <f>328.6-87.4+66.7</f>
        <v>307.90000000000003</v>
      </c>
      <c r="AE86" s="634">
        <v>328.6</v>
      </c>
      <c r="AF86" s="645">
        <v>328.6</v>
      </c>
      <c r="AG86" s="180"/>
      <c r="AH86" s="180"/>
      <c r="AI86" s="147"/>
    </row>
    <row r="87" spans="1:35" x14ac:dyDescent="0.25">
      <c r="A87" s="93"/>
      <c r="B87" s="493"/>
      <c r="C87" s="494"/>
      <c r="D87" s="494"/>
      <c r="E87" s="495"/>
      <c r="F87" s="494"/>
      <c r="G87" s="494"/>
      <c r="H87" s="94"/>
      <c r="I87" s="91"/>
      <c r="J87" s="91"/>
      <c r="K87" s="91"/>
      <c r="L87" s="492"/>
      <c r="M87" s="91"/>
      <c r="N87" s="492"/>
      <c r="O87" s="82"/>
      <c r="P87" s="41"/>
      <c r="Q87" s="497"/>
      <c r="R87" s="84"/>
      <c r="S87" s="498"/>
      <c r="T87" s="498"/>
      <c r="U87" s="498"/>
      <c r="V87" s="498"/>
      <c r="X87" s="451" t="s">
        <v>120</v>
      </c>
      <c r="Y87" s="452" t="s">
        <v>63</v>
      </c>
      <c r="Z87" s="453" t="s">
        <v>29</v>
      </c>
      <c r="AA87" s="453">
        <v>13</v>
      </c>
      <c r="AB87" s="542" t="s">
        <v>610</v>
      </c>
      <c r="AC87" s="470">
        <v>200</v>
      </c>
      <c r="AD87" s="672">
        <f>AD88</f>
        <v>20.700000000000003</v>
      </c>
      <c r="AE87" s="672">
        <f t="shared" ref="AE87:AF87" si="17">AE88</f>
        <v>0</v>
      </c>
      <c r="AF87" s="672">
        <f t="shared" si="17"/>
        <v>0</v>
      </c>
      <c r="AG87" s="506"/>
      <c r="AH87" s="506"/>
      <c r="AI87" s="502"/>
    </row>
    <row r="88" spans="1:35" ht="31.5" x14ac:dyDescent="0.25">
      <c r="A88" s="93"/>
      <c r="B88" s="493"/>
      <c r="C88" s="494"/>
      <c r="D88" s="494"/>
      <c r="E88" s="495"/>
      <c r="F88" s="494"/>
      <c r="G88" s="494"/>
      <c r="H88" s="94"/>
      <c r="I88" s="91"/>
      <c r="J88" s="91"/>
      <c r="K88" s="91"/>
      <c r="L88" s="492"/>
      <c r="M88" s="91"/>
      <c r="N88" s="492"/>
      <c r="O88" s="82"/>
      <c r="P88" s="41"/>
      <c r="Q88" s="497"/>
      <c r="R88" s="84"/>
      <c r="S88" s="498"/>
      <c r="T88" s="498"/>
      <c r="U88" s="498"/>
      <c r="V88" s="498"/>
      <c r="X88" s="451" t="s">
        <v>52</v>
      </c>
      <c r="Y88" s="452" t="s">
        <v>63</v>
      </c>
      <c r="Z88" s="453" t="s">
        <v>29</v>
      </c>
      <c r="AA88" s="453">
        <v>13</v>
      </c>
      <c r="AB88" s="542" t="s">
        <v>610</v>
      </c>
      <c r="AC88" s="470">
        <v>240</v>
      </c>
      <c r="AD88" s="672">
        <f>87.4-66.7</f>
        <v>20.700000000000003</v>
      </c>
      <c r="AE88" s="634">
        <v>0</v>
      </c>
      <c r="AF88" s="645">
        <v>0</v>
      </c>
      <c r="AG88" s="506"/>
      <c r="AH88" s="506"/>
      <c r="AI88" s="502"/>
    </row>
    <row r="89" spans="1:35" x14ac:dyDescent="0.25">
      <c r="A89" s="93"/>
      <c r="B89" s="78"/>
      <c r="C89" s="79"/>
      <c r="D89" s="79"/>
      <c r="E89" s="80"/>
      <c r="F89" s="79"/>
      <c r="G89" s="79"/>
      <c r="H89" s="94"/>
      <c r="I89" s="91"/>
      <c r="J89" s="91"/>
      <c r="K89" s="91"/>
      <c r="L89" s="73"/>
      <c r="M89" s="91"/>
      <c r="N89" s="73"/>
      <c r="O89" s="82"/>
      <c r="P89" s="41"/>
      <c r="Q89" s="83"/>
      <c r="R89" s="84"/>
      <c r="S89" s="87"/>
      <c r="T89" s="87"/>
      <c r="U89" s="87"/>
      <c r="V89" s="87"/>
      <c r="X89" s="654" t="s">
        <v>634</v>
      </c>
      <c r="Y89" s="452" t="s">
        <v>63</v>
      </c>
      <c r="Z89" s="453" t="s">
        <v>29</v>
      </c>
      <c r="AA89" s="453">
        <v>13</v>
      </c>
      <c r="AB89" s="542" t="s">
        <v>190</v>
      </c>
      <c r="AC89" s="470"/>
      <c r="AD89" s="672">
        <f>AD90+AD119</f>
        <v>130393.49999999999</v>
      </c>
      <c r="AE89" s="634">
        <f>AE90+AE119</f>
        <v>77433.3</v>
      </c>
      <c r="AF89" s="645">
        <f>AF90+AF119</f>
        <v>77435.3</v>
      </c>
      <c r="AG89" s="180"/>
      <c r="AH89" s="180"/>
      <c r="AI89" s="147"/>
    </row>
    <row r="90" spans="1:35" ht="31.5" x14ac:dyDescent="0.25">
      <c r="A90" s="93"/>
      <c r="B90" s="78"/>
      <c r="C90" s="79"/>
      <c r="D90" s="79"/>
      <c r="E90" s="80"/>
      <c r="F90" s="79"/>
      <c r="G90" s="79"/>
      <c r="H90" s="94"/>
      <c r="I90" s="91"/>
      <c r="J90" s="91"/>
      <c r="K90" s="91"/>
      <c r="L90" s="73"/>
      <c r="M90" s="91"/>
      <c r="N90" s="73"/>
      <c r="O90" s="82"/>
      <c r="P90" s="41"/>
      <c r="Q90" s="83"/>
      <c r="R90" s="84"/>
      <c r="S90" s="87"/>
      <c r="T90" s="87"/>
      <c r="U90" s="87"/>
      <c r="V90" s="87"/>
      <c r="X90" s="457" t="s">
        <v>191</v>
      </c>
      <c r="Y90" s="452" t="s">
        <v>63</v>
      </c>
      <c r="Z90" s="453" t="s">
        <v>29</v>
      </c>
      <c r="AA90" s="453">
        <v>13</v>
      </c>
      <c r="AB90" s="542" t="s">
        <v>192</v>
      </c>
      <c r="AC90" s="454"/>
      <c r="AD90" s="672">
        <f>AD91+AD94+AD106+AD101</f>
        <v>130306.29999999999</v>
      </c>
      <c r="AE90" s="672">
        <f t="shared" ref="AE90:AF90" si="18">AE91+AE94+AE106+AE101</f>
        <v>77350.400000000009</v>
      </c>
      <c r="AF90" s="672">
        <f t="shared" si="18"/>
        <v>77350.400000000009</v>
      </c>
      <c r="AG90" s="180"/>
      <c r="AH90" s="180"/>
      <c r="AI90" s="147"/>
    </row>
    <row r="91" spans="1:35" x14ac:dyDescent="0.25">
      <c r="A91" s="89"/>
      <c r="B91" s="78"/>
      <c r="C91" s="79"/>
      <c r="D91" s="79"/>
      <c r="E91" s="80"/>
      <c r="F91" s="79"/>
      <c r="G91" s="81"/>
      <c r="H91" s="81"/>
      <c r="I91" s="81"/>
      <c r="J91" s="81"/>
      <c r="K91" s="81"/>
      <c r="L91" s="73"/>
      <c r="M91" s="81"/>
      <c r="N91" s="73"/>
      <c r="O91" s="82"/>
      <c r="P91" s="81"/>
      <c r="Q91" s="83"/>
      <c r="R91" s="87"/>
      <c r="S91" s="87"/>
      <c r="T91" s="87"/>
      <c r="U91" s="87"/>
      <c r="V91" s="87"/>
      <c r="W91" s="87"/>
      <c r="X91" s="465" t="s">
        <v>223</v>
      </c>
      <c r="Y91" s="467" t="s">
        <v>63</v>
      </c>
      <c r="Z91" s="453" t="s">
        <v>29</v>
      </c>
      <c r="AA91" s="453">
        <v>13</v>
      </c>
      <c r="AB91" s="544" t="s">
        <v>224</v>
      </c>
      <c r="AC91" s="454"/>
      <c r="AD91" s="672">
        <f>AD93</f>
        <v>160</v>
      </c>
      <c r="AE91" s="634">
        <f>AE93</f>
        <v>160</v>
      </c>
      <c r="AF91" s="645">
        <f>AF93</f>
        <v>160</v>
      </c>
      <c r="AG91" s="180"/>
      <c r="AH91" s="180"/>
      <c r="AI91" s="147"/>
    </row>
    <row r="92" spans="1:35" x14ac:dyDescent="0.25">
      <c r="A92" s="89"/>
      <c r="B92" s="78"/>
      <c r="C92" s="79"/>
      <c r="D92" s="79"/>
      <c r="E92" s="80"/>
      <c r="F92" s="79"/>
      <c r="G92" s="81"/>
      <c r="H92" s="81"/>
      <c r="I92" s="81"/>
      <c r="J92" s="81"/>
      <c r="K92" s="81"/>
      <c r="L92" s="73"/>
      <c r="M92" s="81"/>
      <c r="N92" s="73"/>
      <c r="O92" s="82"/>
      <c r="P92" s="81"/>
      <c r="Q92" s="83"/>
      <c r="R92" s="87"/>
      <c r="S92" s="87"/>
      <c r="T92" s="87"/>
      <c r="U92" s="87"/>
      <c r="V92" s="87"/>
      <c r="W92" s="87"/>
      <c r="X92" s="451" t="s">
        <v>42</v>
      </c>
      <c r="Y92" s="452" t="s">
        <v>63</v>
      </c>
      <c r="Z92" s="453" t="s">
        <v>29</v>
      </c>
      <c r="AA92" s="453">
        <v>13</v>
      </c>
      <c r="AB92" s="544" t="s">
        <v>224</v>
      </c>
      <c r="AC92" s="454">
        <v>800</v>
      </c>
      <c r="AD92" s="672">
        <f>AD93</f>
        <v>160</v>
      </c>
      <c r="AE92" s="634">
        <f>AE93</f>
        <v>160</v>
      </c>
      <c r="AF92" s="645">
        <f>AF93</f>
        <v>160</v>
      </c>
      <c r="AG92" s="180"/>
      <c r="AH92" s="180"/>
      <c r="AI92" s="147"/>
    </row>
    <row r="93" spans="1:35" x14ac:dyDescent="0.25">
      <c r="A93" s="90"/>
      <c r="B93" s="78"/>
      <c r="C93" s="79"/>
      <c r="D93" s="79"/>
      <c r="E93" s="80"/>
      <c r="F93" s="79"/>
      <c r="G93" s="81"/>
      <c r="H93" s="40"/>
      <c r="I93" s="91"/>
      <c r="J93" s="91"/>
      <c r="K93" s="91"/>
      <c r="L93" s="73"/>
      <c r="M93" s="91"/>
      <c r="N93" s="73"/>
      <c r="O93" s="82"/>
      <c r="P93" s="81"/>
      <c r="Q93" s="83"/>
      <c r="R93" s="84"/>
      <c r="S93" s="87"/>
      <c r="T93" s="87"/>
      <c r="U93" s="87"/>
      <c r="V93" s="87"/>
      <c r="X93" s="451" t="s">
        <v>57</v>
      </c>
      <c r="Y93" s="452" t="s">
        <v>63</v>
      </c>
      <c r="Z93" s="453" t="s">
        <v>29</v>
      </c>
      <c r="AA93" s="453">
        <v>13</v>
      </c>
      <c r="AB93" s="544" t="s">
        <v>224</v>
      </c>
      <c r="AC93" s="454">
        <v>850</v>
      </c>
      <c r="AD93" s="672">
        <v>160</v>
      </c>
      <c r="AE93" s="634">
        <v>160</v>
      </c>
      <c r="AF93" s="645">
        <v>160</v>
      </c>
      <c r="AG93" s="180"/>
      <c r="AH93" s="180"/>
      <c r="AI93" s="147"/>
    </row>
    <row r="94" spans="1:35" ht="31.5" x14ac:dyDescent="0.25">
      <c r="A94" s="93"/>
      <c r="B94" s="78"/>
      <c r="C94" s="79"/>
      <c r="D94" s="79"/>
      <c r="E94" s="80"/>
      <c r="F94" s="79"/>
      <c r="G94" s="79"/>
      <c r="H94" s="94"/>
      <c r="I94" s="91"/>
      <c r="J94" s="91"/>
      <c r="K94" s="91"/>
      <c r="L94" s="73"/>
      <c r="M94" s="91"/>
      <c r="N94" s="73"/>
      <c r="O94" s="82"/>
      <c r="P94" s="41"/>
      <c r="Q94" s="83"/>
      <c r="R94" s="84"/>
      <c r="S94" s="87"/>
      <c r="T94" s="87"/>
      <c r="U94" s="87"/>
      <c r="V94" s="87"/>
      <c r="X94" s="465" t="s">
        <v>551</v>
      </c>
      <c r="Y94" s="452" t="s">
        <v>63</v>
      </c>
      <c r="Z94" s="453" t="s">
        <v>29</v>
      </c>
      <c r="AA94" s="453">
        <v>13</v>
      </c>
      <c r="AB94" s="544" t="s">
        <v>550</v>
      </c>
      <c r="AC94" s="454"/>
      <c r="AD94" s="672">
        <f>AD95+AD97+AD99</f>
        <v>17438.399999999998</v>
      </c>
      <c r="AE94" s="672">
        <f t="shared" ref="AE94:AF94" si="19">AE95+AE97+AE99</f>
        <v>13813</v>
      </c>
      <c r="AF94" s="672">
        <f t="shared" si="19"/>
        <v>13813</v>
      </c>
      <c r="AG94" s="180"/>
      <c r="AH94" s="180"/>
      <c r="AI94" s="147"/>
    </row>
    <row r="95" spans="1:35" ht="47.25" x14ac:dyDescent="0.25">
      <c r="A95" s="93"/>
      <c r="B95" s="78"/>
      <c r="C95" s="79"/>
      <c r="D95" s="79"/>
      <c r="E95" s="80"/>
      <c r="F95" s="79"/>
      <c r="G95" s="79"/>
      <c r="H95" s="94"/>
      <c r="I95" s="91"/>
      <c r="J95" s="91"/>
      <c r="K95" s="91"/>
      <c r="L95" s="73"/>
      <c r="M95" s="91"/>
      <c r="N95" s="73"/>
      <c r="O95" s="82"/>
      <c r="P95" s="41"/>
      <c r="Q95" s="83"/>
      <c r="R95" s="84"/>
      <c r="S95" s="87"/>
      <c r="T95" s="87"/>
      <c r="U95" s="87"/>
      <c r="V95" s="87"/>
      <c r="X95" s="451" t="s">
        <v>41</v>
      </c>
      <c r="Y95" s="452" t="s">
        <v>63</v>
      </c>
      <c r="Z95" s="453" t="s">
        <v>29</v>
      </c>
      <c r="AA95" s="453">
        <v>13</v>
      </c>
      <c r="AB95" s="544" t="s">
        <v>550</v>
      </c>
      <c r="AC95" s="473" t="s">
        <v>127</v>
      </c>
      <c r="AD95" s="672">
        <f>AD96</f>
        <v>16527.099999999999</v>
      </c>
      <c r="AE95" s="634">
        <f>AE96</f>
        <v>12901.7</v>
      </c>
      <c r="AF95" s="645">
        <f>AF96</f>
        <v>12901.7</v>
      </c>
      <c r="AG95" s="180"/>
      <c r="AH95" s="180"/>
      <c r="AI95" s="147"/>
    </row>
    <row r="96" spans="1:35" x14ac:dyDescent="0.25">
      <c r="A96" s="93"/>
      <c r="B96" s="78"/>
      <c r="C96" s="79"/>
      <c r="D96" s="79"/>
      <c r="E96" s="80"/>
      <c r="F96" s="79"/>
      <c r="G96" s="79"/>
      <c r="H96" s="94"/>
      <c r="I96" s="91"/>
      <c r="J96" s="91"/>
      <c r="K96" s="91"/>
      <c r="L96" s="73"/>
      <c r="M96" s="91"/>
      <c r="N96" s="73"/>
      <c r="O96" s="82"/>
      <c r="P96" s="41"/>
      <c r="Q96" s="83"/>
      <c r="R96" s="84"/>
      <c r="S96" s="87"/>
      <c r="T96" s="87"/>
      <c r="U96" s="87"/>
      <c r="V96" s="87"/>
      <c r="X96" s="451" t="s">
        <v>68</v>
      </c>
      <c r="Y96" s="452" t="s">
        <v>63</v>
      </c>
      <c r="Z96" s="453" t="s">
        <v>29</v>
      </c>
      <c r="AA96" s="453">
        <v>13</v>
      </c>
      <c r="AB96" s="544" t="s">
        <v>550</v>
      </c>
      <c r="AC96" s="473" t="s">
        <v>128</v>
      </c>
      <c r="AD96" s="672">
        <f>15778.8+748.3</f>
        <v>16527.099999999999</v>
      </c>
      <c r="AE96" s="634">
        <v>12901.7</v>
      </c>
      <c r="AF96" s="645">
        <v>12901.7</v>
      </c>
      <c r="AG96" s="180"/>
      <c r="AH96" s="180"/>
      <c r="AI96" s="147"/>
    </row>
    <row r="97" spans="1:35" x14ac:dyDescent="0.25">
      <c r="A97" s="93"/>
      <c r="B97" s="78"/>
      <c r="C97" s="79"/>
      <c r="D97" s="79"/>
      <c r="E97" s="80"/>
      <c r="F97" s="79"/>
      <c r="G97" s="79"/>
      <c r="H97" s="94"/>
      <c r="I97" s="91"/>
      <c r="J97" s="91"/>
      <c r="K97" s="91"/>
      <c r="L97" s="73"/>
      <c r="M97" s="91"/>
      <c r="N97" s="73"/>
      <c r="O97" s="82"/>
      <c r="P97" s="41"/>
      <c r="Q97" s="83"/>
      <c r="R97" s="84"/>
      <c r="S97" s="87"/>
      <c r="T97" s="87"/>
      <c r="U97" s="87"/>
      <c r="V97" s="87"/>
      <c r="X97" s="451" t="s">
        <v>120</v>
      </c>
      <c r="Y97" s="452" t="s">
        <v>63</v>
      </c>
      <c r="Z97" s="453" t="s">
        <v>29</v>
      </c>
      <c r="AA97" s="453">
        <v>13</v>
      </c>
      <c r="AB97" s="544" t="s">
        <v>550</v>
      </c>
      <c r="AC97" s="473" t="s">
        <v>37</v>
      </c>
      <c r="AD97" s="672">
        <f>AD98</f>
        <v>911.19999999999993</v>
      </c>
      <c r="AE97" s="634">
        <f>AE98</f>
        <v>911.3</v>
      </c>
      <c r="AF97" s="645">
        <f>AF98</f>
        <v>911.3</v>
      </c>
      <c r="AG97" s="180"/>
      <c r="AH97" s="180"/>
      <c r="AI97" s="147"/>
    </row>
    <row r="98" spans="1:35" ht="31.5" x14ac:dyDescent="0.25">
      <c r="A98" s="93"/>
      <c r="B98" s="78"/>
      <c r="C98" s="79"/>
      <c r="D98" s="79"/>
      <c r="E98" s="80"/>
      <c r="F98" s="79"/>
      <c r="G98" s="79"/>
      <c r="H98" s="94"/>
      <c r="I98" s="91"/>
      <c r="J98" s="91"/>
      <c r="K98" s="91"/>
      <c r="L98" s="73"/>
      <c r="M98" s="91"/>
      <c r="N98" s="73"/>
      <c r="O98" s="82"/>
      <c r="P98" s="41"/>
      <c r="Q98" s="83"/>
      <c r="R98" s="84"/>
      <c r="S98" s="87"/>
      <c r="T98" s="87"/>
      <c r="U98" s="87"/>
      <c r="V98" s="87"/>
      <c r="X98" s="451" t="s">
        <v>52</v>
      </c>
      <c r="Y98" s="452" t="s">
        <v>63</v>
      </c>
      <c r="Z98" s="453" t="s">
        <v>29</v>
      </c>
      <c r="AA98" s="453">
        <v>13</v>
      </c>
      <c r="AB98" s="544" t="s">
        <v>550</v>
      </c>
      <c r="AC98" s="473" t="s">
        <v>65</v>
      </c>
      <c r="AD98" s="672">
        <f>911.3-0.1</f>
        <v>911.19999999999993</v>
      </c>
      <c r="AE98" s="634">
        <v>911.3</v>
      </c>
      <c r="AF98" s="645">
        <v>911.3</v>
      </c>
      <c r="AG98" s="180"/>
      <c r="AH98" s="180"/>
      <c r="AI98" s="147"/>
    </row>
    <row r="99" spans="1:35" x14ac:dyDescent="0.25">
      <c r="A99" s="93"/>
      <c r="B99" s="493"/>
      <c r="C99" s="494"/>
      <c r="D99" s="494"/>
      <c r="E99" s="495"/>
      <c r="F99" s="494"/>
      <c r="G99" s="494"/>
      <c r="H99" s="94"/>
      <c r="I99" s="91"/>
      <c r="J99" s="91"/>
      <c r="K99" s="91"/>
      <c r="L99" s="492"/>
      <c r="M99" s="91"/>
      <c r="N99" s="492"/>
      <c r="O99" s="82"/>
      <c r="P99" s="41"/>
      <c r="Q99" s="497"/>
      <c r="R99" s="84"/>
      <c r="S99" s="498"/>
      <c r="T99" s="498"/>
      <c r="U99" s="498"/>
      <c r="V99" s="498"/>
      <c r="X99" s="451" t="s">
        <v>42</v>
      </c>
      <c r="Y99" s="452" t="s">
        <v>63</v>
      </c>
      <c r="Z99" s="453" t="s">
        <v>29</v>
      </c>
      <c r="AA99" s="453">
        <v>13</v>
      </c>
      <c r="AB99" s="544" t="s">
        <v>550</v>
      </c>
      <c r="AC99" s="473" t="s">
        <v>347</v>
      </c>
      <c r="AD99" s="672">
        <f>AD100</f>
        <v>0.1</v>
      </c>
      <c r="AE99" s="672">
        <f t="shared" ref="AE99:AF99" si="20">AE100</f>
        <v>0</v>
      </c>
      <c r="AF99" s="672">
        <f t="shared" si="20"/>
        <v>0</v>
      </c>
      <c r="AG99" s="506"/>
      <c r="AH99" s="506"/>
      <c r="AI99" s="502"/>
    </row>
    <row r="100" spans="1:35" x14ac:dyDescent="0.25">
      <c r="A100" s="93"/>
      <c r="B100" s="493"/>
      <c r="C100" s="494"/>
      <c r="D100" s="494"/>
      <c r="E100" s="495"/>
      <c r="F100" s="494"/>
      <c r="G100" s="494"/>
      <c r="H100" s="94"/>
      <c r="I100" s="91"/>
      <c r="J100" s="91"/>
      <c r="K100" s="91"/>
      <c r="L100" s="492"/>
      <c r="M100" s="91"/>
      <c r="N100" s="492"/>
      <c r="O100" s="82"/>
      <c r="P100" s="41"/>
      <c r="Q100" s="497"/>
      <c r="R100" s="84"/>
      <c r="S100" s="498"/>
      <c r="T100" s="498"/>
      <c r="U100" s="498"/>
      <c r="V100" s="498"/>
      <c r="X100" s="451" t="s">
        <v>57</v>
      </c>
      <c r="Y100" s="452" t="s">
        <v>63</v>
      </c>
      <c r="Z100" s="453" t="s">
        <v>29</v>
      </c>
      <c r="AA100" s="453">
        <v>13</v>
      </c>
      <c r="AB100" s="544" t="s">
        <v>550</v>
      </c>
      <c r="AC100" s="473" t="s">
        <v>824</v>
      </c>
      <c r="AD100" s="672">
        <v>0.1</v>
      </c>
      <c r="AE100" s="634">
        <v>0</v>
      </c>
      <c r="AF100" s="645">
        <v>0</v>
      </c>
      <c r="AG100" s="506"/>
      <c r="AH100" s="506"/>
      <c r="AI100" s="502"/>
    </row>
    <row r="101" spans="1:35" ht="31.5" x14ac:dyDescent="0.25">
      <c r="A101" s="93"/>
      <c r="B101" s="493"/>
      <c r="C101" s="494"/>
      <c r="D101" s="494"/>
      <c r="E101" s="495"/>
      <c r="F101" s="494"/>
      <c r="G101" s="494"/>
      <c r="H101" s="94"/>
      <c r="I101" s="91"/>
      <c r="J101" s="91"/>
      <c r="K101" s="91"/>
      <c r="L101" s="492"/>
      <c r="M101" s="91"/>
      <c r="N101" s="492"/>
      <c r="O101" s="82"/>
      <c r="P101" s="41"/>
      <c r="Q101" s="497"/>
      <c r="R101" s="84"/>
      <c r="S101" s="498"/>
      <c r="T101" s="498"/>
      <c r="U101" s="498"/>
      <c r="V101" s="498"/>
      <c r="X101" s="278" t="s">
        <v>217</v>
      </c>
      <c r="Y101" s="452" t="s">
        <v>63</v>
      </c>
      <c r="Z101" s="511" t="s">
        <v>29</v>
      </c>
      <c r="AA101" s="189">
        <v>13</v>
      </c>
      <c r="AB101" s="281" t="s">
        <v>218</v>
      </c>
      <c r="AC101" s="544"/>
      <c r="AD101" s="672">
        <f>AD102+AD104</f>
        <v>13784.5</v>
      </c>
      <c r="AE101" s="672">
        <f t="shared" ref="AE101:AF101" si="21">AE102+AE104</f>
        <v>26390.2</v>
      </c>
      <c r="AF101" s="672">
        <f t="shared" si="21"/>
        <v>26390.2</v>
      </c>
      <c r="AG101" s="506"/>
      <c r="AH101" s="506"/>
      <c r="AI101" s="502"/>
    </row>
    <row r="102" spans="1:35" ht="47.25" x14ac:dyDescent="0.25">
      <c r="A102" s="93"/>
      <c r="B102" s="493"/>
      <c r="C102" s="494"/>
      <c r="D102" s="494"/>
      <c r="E102" s="495"/>
      <c r="F102" s="494"/>
      <c r="G102" s="494"/>
      <c r="H102" s="94"/>
      <c r="I102" s="91"/>
      <c r="J102" s="91"/>
      <c r="K102" s="91"/>
      <c r="L102" s="492"/>
      <c r="M102" s="91"/>
      <c r="N102" s="492"/>
      <c r="O102" s="82"/>
      <c r="P102" s="41"/>
      <c r="Q102" s="497"/>
      <c r="R102" s="84"/>
      <c r="S102" s="498"/>
      <c r="T102" s="498"/>
      <c r="U102" s="498"/>
      <c r="V102" s="498"/>
      <c r="X102" s="451" t="s">
        <v>41</v>
      </c>
      <c r="Y102" s="452" t="s">
        <v>63</v>
      </c>
      <c r="Z102" s="453" t="s">
        <v>29</v>
      </c>
      <c r="AA102" s="453">
        <v>13</v>
      </c>
      <c r="AB102" s="281" t="s">
        <v>218</v>
      </c>
      <c r="AC102" s="473" t="s">
        <v>127</v>
      </c>
      <c r="AD102" s="672">
        <f>AD103</f>
        <v>13228.4</v>
      </c>
      <c r="AE102" s="672">
        <f t="shared" ref="AE102:AF102" si="22">AE103</f>
        <v>24918.400000000001</v>
      </c>
      <c r="AF102" s="672">
        <f t="shared" si="22"/>
        <v>24918.400000000001</v>
      </c>
      <c r="AG102" s="506"/>
      <c r="AH102" s="506"/>
      <c r="AI102" s="502"/>
    </row>
    <row r="103" spans="1:35" x14ac:dyDescent="0.25">
      <c r="A103" s="93"/>
      <c r="B103" s="493"/>
      <c r="C103" s="494"/>
      <c r="D103" s="494"/>
      <c r="E103" s="495"/>
      <c r="F103" s="494"/>
      <c r="G103" s="494"/>
      <c r="H103" s="94"/>
      <c r="I103" s="91"/>
      <c r="J103" s="91"/>
      <c r="K103" s="91"/>
      <c r="L103" s="492"/>
      <c r="M103" s="91"/>
      <c r="N103" s="492"/>
      <c r="O103" s="82"/>
      <c r="P103" s="41"/>
      <c r="Q103" s="497"/>
      <c r="R103" s="84"/>
      <c r="S103" s="498"/>
      <c r="T103" s="498"/>
      <c r="U103" s="498"/>
      <c r="V103" s="498"/>
      <c r="X103" s="451" t="s">
        <v>68</v>
      </c>
      <c r="Y103" s="452" t="s">
        <v>63</v>
      </c>
      <c r="Z103" s="453" t="s">
        <v>29</v>
      </c>
      <c r="AA103" s="453">
        <v>13</v>
      </c>
      <c r="AB103" s="281" t="s">
        <v>218</v>
      </c>
      <c r="AC103" s="473" t="s">
        <v>128</v>
      </c>
      <c r="AD103" s="672">
        <v>13228.4</v>
      </c>
      <c r="AE103" s="634">
        <v>24918.400000000001</v>
      </c>
      <c r="AF103" s="645">
        <v>24918.400000000001</v>
      </c>
      <c r="AG103" s="506"/>
      <c r="AH103" s="506"/>
      <c r="AI103" s="502"/>
    </row>
    <row r="104" spans="1:35" x14ac:dyDescent="0.25">
      <c r="A104" s="93"/>
      <c r="B104" s="493"/>
      <c r="C104" s="494"/>
      <c r="D104" s="494"/>
      <c r="E104" s="495"/>
      <c r="F104" s="494"/>
      <c r="G104" s="494"/>
      <c r="H104" s="94"/>
      <c r="I104" s="91"/>
      <c r="J104" s="91"/>
      <c r="K104" s="91"/>
      <c r="L104" s="492"/>
      <c r="M104" s="91"/>
      <c r="N104" s="492"/>
      <c r="O104" s="82"/>
      <c r="P104" s="41"/>
      <c r="Q104" s="497"/>
      <c r="R104" s="84"/>
      <c r="S104" s="498"/>
      <c r="T104" s="498"/>
      <c r="U104" s="498"/>
      <c r="V104" s="498"/>
      <c r="X104" s="451" t="s">
        <v>120</v>
      </c>
      <c r="Y104" s="452" t="s">
        <v>63</v>
      </c>
      <c r="Z104" s="453" t="s">
        <v>29</v>
      </c>
      <c r="AA104" s="453">
        <v>13</v>
      </c>
      <c r="AB104" s="281" t="s">
        <v>218</v>
      </c>
      <c r="AC104" s="473" t="s">
        <v>37</v>
      </c>
      <c r="AD104" s="672">
        <f>AD105</f>
        <v>556.1</v>
      </c>
      <c r="AE104" s="672">
        <f t="shared" ref="AE104:AF104" si="23">AE105</f>
        <v>1471.8</v>
      </c>
      <c r="AF104" s="672">
        <f t="shared" si="23"/>
        <v>1471.8</v>
      </c>
      <c r="AG104" s="506"/>
      <c r="AH104" s="506"/>
      <c r="AI104" s="502"/>
    </row>
    <row r="105" spans="1:35" ht="31.5" x14ac:dyDescent="0.25">
      <c r="A105" s="93"/>
      <c r="B105" s="493"/>
      <c r="C105" s="494"/>
      <c r="D105" s="494"/>
      <c r="E105" s="495"/>
      <c r="F105" s="494"/>
      <c r="G105" s="494"/>
      <c r="H105" s="94"/>
      <c r="I105" s="91"/>
      <c r="J105" s="91"/>
      <c r="K105" s="91"/>
      <c r="L105" s="492"/>
      <c r="M105" s="91"/>
      <c r="N105" s="492"/>
      <c r="O105" s="82"/>
      <c r="P105" s="41"/>
      <c r="Q105" s="497"/>
      <c r="R105" s="84"/>
      <c r="S105" s="498"/>
      <c r="T105" s="498"/>
      <c r="U105" s="498"/>
      <c r="V105" s="498"/>
      <c r="X105" s="451" t="s">
        <v>52</v>
      </c>
      <c r="Y105" s="452" t="s">
        <v>63</v>
      </c>
      <c r="Z105" s="453" t="s">
        <v>29</v>
      </c>
      <c r="AA105" s="453">
        <v>13</v>
      </c>
      <c r="AB105" s="281" t="s">
        <v>218</v>
      </c>
      <c r="AC105" s="473" t="s">
        <v>65</v>
      </c>
      <c r="AD105" s="672">
        <v>556.1</v>
      </c>
      <c r="AE105" s="634">
        <v>1471.8</v>
      </c>
      <c r="AF105" s="645">
        <v>1471.8</v>
      </c>
      <c r="AG105" s="506"/>
      <c r="AH105" s="506"/>
      <c r="AI105" s="502"/>
    </row>
    <row r="106" spans="1:35" ht="31.5" x14ac:dyDescent="0.25">
      <c r="A106" s="93"/>
      <c r="B106" s="78"/>
      <c r="C106" s="79"/>
      <c r="D106" s="79"/>
      <c r="E106" s="80"/>
      <c r="F106" s="79"/>
      <c r="G106" s="79"/>
      <c r="H106" s="94"/>
      <c r="I106" s="91"/>
      <c r="J106" s="91"/>
      <c r="K106" s="91"/>
      <c r="L106" s="73"/>
      <c r="M106" s="91"/>
      <c r="N106" s="73"/>
      <c r="O106" s="82"/>
      <c r="P106" s="41"/>
      <c r="Q106" s="83"/>
      <c r="R106" s="84"/>
      <c r="S106" s="87"/>
      <c r="T106" s="87"/>
      <c r="U106" s="87"/>
      <c r="V106" s="87"/>
      <c r="X106" s="465" t="s">
        <v>203</v>
      </c>
      <c r="Y106" s="452" t="s">
        <v>63</v>
      </c>
      <c r="Z106" s="453" t="s">
        <v>29</v>
      </c>
      <c r="AA106" s="453">
        <v>13</v>
      </c>
      <c r="AB106" s="544" t="s">
        <v>204</v>
      </c>
      <c r="AC106" s="454"/>
      <c r="AD106" s="672">
        <f>AD107+AD112</f>
        <v>98923.4</v>
      </c>
      <c r="AE106" s="634">
        <f>AE107+AE112</f>
        <v>36987.200000000004</v>
      </c>
      <c r="AF106" s="645">
        <f>AF107+AF112</f>
        <v>36987.200000000004</v>
      </c>
      <c r="AG106" s="180"/>
      <c r="AH106" s="180"/>
      <c r="AI106" s="147"/>
    </row>
    <row r="107" spans="1:35" ht="47.25" x14ac:dyDescent="0.25">
      <c r="A107" s="93"/>
      <c r="B107" s="78"/>
      <c r="C107" s="79"/>
      <c r="D107" s="79"/>
      <c r="E107" s="80"/>
      <c r="F107" s="79"/>
      <c r="G107" s="79"/>
      <c r="H107" s="94"/>
      <c r="I107" s="91"/>
      <c r="J107" s="91"/>
      <c r="K107" s="91"/>
      <c r="L107" s="73"/>
      <c r="M107" s="91"/>
      <c r="N107" s="73"/>
      <c r="O107" s="82"/>
      <c r="P107" s="41"/>
      <c r="Q107" s="83"/>
      <c r="R107" s="84"/>
      <c r="S107" s="87"/>
      <c r="T107" s="87"/>
      <c r="U107" s="87"/>
      <c r="V107" s="87"/>
      <c r="X107" s="451" t="s">
        <v>219</v>
      </c>
      <c r="Y107" s="452" t="s">
        <v>63</v>
      </c>
      <c r="Z107" s="453" t="s">
        <v>29</v>
      </c>
      <c r="AA107" s="453">
        <v>13</v>
      </c>
      <c r="AB107" s="544" t="s">
        <v>220</v>
      </c>
      <c r="AC107" s="473"/>
      <c r="AD107" s="672">
        <f>AD108+AD110</f>
        <v>79325.799999999988</v>
      </c>
      <c r="AE107" s="634">
        <f>AE108+AE110</f>
        <v>27679.600000000002</v>
      </c>
      <c r="AF107" s="645">
        <f>AF108+AF110</f>
        <v>27679.600000000002</v>
      </c>
      <c r="AG107" s="180"/>
      <c r="AH107" s="180"/>
      <c r="AI107" s="147"/>
    </row>
    <row r="108" spans="1:35" ht="47.25" x14ac:dyDescent="0.25">
      <c r="A108" s="93"/>
      <c r="B108" s="78"/>
      <c r="C108" s="79"/>
      <c r="D108" s="79"/>
      <c r="E108" s="80"/>
      <c r="F108" s="79"/>
      <c r="G108" s="79"/>
      <c r="H108" s="94"/>
      <c r="I108" s="91"/>
      <c r="J108" s="91"/>
      <c r="K108" s="91"/>
      <c r="L108" s="73"/>
      <c r="M108" s="91"/>
      <c r="N108" s="73"/>
      <c r="O108" s="82"/>
      <c r="P108" s="41"/>
      <c r="Q108" s="83"/>
      <c r="R108" s="84"/>
      <c r="S108" s="87"/>
      <c r="T108" s="87"/>
      <c r="U108" s="87"/>
      <c r="V108" s="87"/>
      <c r="X108" s="451" t="s">
        <v>41</v>
      </c>
      <c r="Y108" s="452" t="s">
        <v>63</v>
      </c>
      <c r="Z108" s="453" t="s">
        <v>29</v>
      </c>
      <c r="AA108" s="453">
        <v>13</v>
      </c>
      <c r="AB108" s="544" t="s">
        <v>220</v>
      </c>
      <c r="AC108" s="473" t="s">
        <v>127</v>
      </c>
      <c r="AD108" s="672">
        <f>AD109</f>
        <v>78583.899999999994</v>
      </c>
      <c r="AE108" s="634">
        <f>AE109</f>
        <v>26937.7</v>
      </c>
      <c r="AF108" s="645">
        <f>AF109</f>
        <v>26937.7</v>
      </c>
      <c r="AG108" s="180"/>
      <c r="AH108" s="180"/>
      <c r="AI108" s="147"/>
    </row>
    <row r="109" spans="1:35" x14ac:dyDescent="0.25">
      <c r="A109" s="93"/>
      <c r="B109" s="78"/>
      <c r="C109" s="79"/>
      <c r="D109" s="79"/>
      <c r="E109" s="80"/>
      <c r="F109" s="79"/>
      <c r="G109" s="79"/>
      <c r="H109" s="94"/>
      <c r="I109" s="91"/>
      <c r="J109" s="91"/>
      <c r="K109" s="91"/>
      <c r="L109" s="73"/>
      <c r="M109" s="91"/>
      <c r="N109" s="73"/>
      <c r="O109" s="82"/>
      <c r="P109" s="41"/>
      <c r="Q109" s="83"/>
      <c r="R109" s="84"/>
      <c r="S109" s="87"/>
      <c r="T109" s="87"/>
      <c r="U109" s="87"/>
      <c r="V109" s="87"/>
      <c r="X109" s="451" t="s">
        <v>68</v>
      </c>
      <c r="Y109" s="452" t="s">
        <v>63</v>
      </c>
      <c r="Z109" s="453" t="s">
        <v>29</v>
      </c>
      <c r="AA109" s="453">
        <v>13</v>
      </c>
      <c r="AB109" s="544" t="s">
        <v>220</v>
      </c>
      <c r="AC109" s="473" t="s">
        <v>128</v>
      </c>
      <c r="AD109" s="672">
        <f>76937.7+1646.2</f>
        <v>78583.899999999994</v>
      </c>
      <c r="AE109" s="634">
        <v>26937.7</v>
      </c>
      <c r="AF109" s="645">
        <v>26937.7</v>
      </c>
      <c r="AG109" s="180"/>
      <c r="AH109" s="180"/>
      <c r="AI109" s="147"/>
    </row>
    <row r="110" spans="1:35" x14ac:dyDescent="0.25">
      <c r="A110" s="93"/>
      <c r="B110" s="78"/>
      <c r="C110" s="79"/>
      <c r="D110" s="79"/>
      <c r="E110" s="80"/>
      <c r="F110" s="79"/>
      <c r="G110" s="79"/>
      <c r="H110" s="94"/>
      <c r="I110" s="91"/>
      <c r="J110" s="91"/>
      <c r="K110" s="91"/>
      <c r="L110" s="73"/>
      <c r="M110" s="91"/>
      <c r="N110" s="73"/>
      <c r="O110" s="82"/>
      <c r="P110" s="41"/>
      <c r="Q110" s="83"/>
      <c r="R110" s="84"/>
      <c r="S110" s="87"/>
      <c r="T110" s="87"/>
      <c r="U110" s="87"/>
      <c r="V110" s="87"/>
      <c r="X110" s="451" t="s">
        <v>120</v>
      </c>
      <c r="Y110" s="452" t="s">
        <v>63</v>
      </c>
      <c r="Z110" s="453" t="s">
        <v>29</v>
      </c>
      <c r="AA110" s="453">
        <v>13</v>
      </c>
      <c r="AB110" s="544" t="s">
        <v>220</v>
      </c>
      <c r="AC110" s="473" t="s">
        <v>37</v>
      </c>
      <c r="AD110" s="672">
        <f>AD111</f>
        <v>741.9</v>
      </c>
      <c r="AE110" s="634">
        <f>AE111</f>
        <v>741.9</v>
      </c>
      <c r="AF110" s="645">
        <f>AF111</f>
        <v>741.9</v>
      </c>
      <c r="AG110" s="180"/>
      <c r="AH110" s="180"/>
      <c r="AI110" s="147"/>
    </row>
    <row r="111" spans="1:35" ht="31.5" x14ac:dyDescent="0.25">
      <c r="A111" s="93"/>
      <c r="B111" s="78"/>
      <c r="C111" s="79"/>
      <c r="D111" s="79"/>
      <c r="E111" s="80"/>
      <c r="F111" s="79"/>
      <c r="G111" s="79"/>
      <c r="H111" s="94"/>
      <c r="I111" s="91"/>
      <c r="J111" s="91"/>
      <c r="K111" s="91"/>
      <c r="L111" s="73"/>
      <c r="M111" s="91"/>
      <c r="N111" s="73"/>
      <c r="O111" s="82"/>
      <c r="P111" s="41"/>
      <c r="Q111" s="83"/>
      <c r="R111" s="84"/>
      <c r="S111" s="87"/>
      <c r="T111" s="87"/>
      <c r="U111" s="87"/>
      <c r="V111" s="87"/>
      <c r="X111" s="451" t="s">
        <v>52</v>
      </c>
      <c r="Y111" s="452" t="s">
        <v>63</v>
      </c>
      <c r="Z111" s="453" t="s">
        <v>29</v>
      </c>
      <c r="AA111" s="453">
        <v>13</v>
      </c>
      <c r="AB111" s="544" t="s">
        <v>220</v>
      </c>
      <c r="AC111" s="473" t="s">
        <v>65</v>
      </c>
      <c r="AD111" s="672">
        <v>741.9</v>
      </c>
      <c r="AE111" s="634">
        <v>741.9</v>
      </c>
      <c r="AF111" s="645">
        <v>741.9</v>
      </c>
      <c r="AG111" s="180"/>
      <c r="AH111" s="180"/>
      <c r="AI111" s="147"/>
    </row>
    <row r="112" spans="1:35" ht="47.25" x14ac:dyDescent="0.25">
      <c r="A112" s="93"/>
      <c r="B112" s="78"/>
      <c r="C112" s="79"/>
      <c r="D112" s="79"/>
      <c r="E112" s="80"/>
      <c r="F112" s="79"/>
      <c r="G112" s="79"/>
      <c r="H112" s="94"/>
      <c r="I112" s="91"/>
      <c r="J112" s="91"/>
      <c r="K112" s="91"/>
      <c r="L112" s="73"/>
      <c r="M112" s="91"/>
      <c r="N112" s="73"/>
      <c r="O112" s="82"/>
      <c r="P112" s="41"/>
      <c r="Q112" s="83"/>
      <c r="R112" s="84"/>
      <c r="S112" s="87"/>
      <c r="T112" s="87"/>
      <c r="U112" s="87"/>
      <c r="V112" s="87"/>
      <c r="X112" s="451" t="s">
        <v>384</v>
      </c>
      <c r="Y112" s="452" t="s">
        <v>63</v>
      </c>
      <c r="Z112" s="453" t="s">
        <v>29</v>
      </c>
      <c r="AA112" s="453">
        <v>13</v>
      </c>
      <c r="AB112" s="544" t="s">
        <v>385</v>
      </c>
      <c r="AC112" s="568"/>
      <c r="AD112" s="672">
        <f>AD113+AD115+AD117</f>
        <v>19597.599999999999</v>
      </c>
      <c r="AE112" s="634">
        <f>AE113+AE115</f>
        <v>9307.6</v>
      </c>
      <c r="AF112" s="645">
        <f>AF113+AF115</f>
        <v>9307.6</v>
      </c>
      <c r="AG112" s="180"/>
      <c r="AH112" s="180"/>
      <c r="AI112" s="147"/>
    </row>
    <row r="113" spans="1:35" ht="47.25" x14ac:dyDescent="0.25">
      <c r="A113" s="93"/>
      <c r="B113" s="78"/>
      <c r="C113" s="79"/>
      <c r="D113" s="79"/>
      <c r="E113" s="80"/>
      <c r="F113" s="79"/>
      <c r="G113" s="79"/>
      <c r="H113" s="94"/>
      <c r="I113" s="91"/>
      <c r="J113" s="91"/>
      <c r="K113" s="91"/>
      <c r="L113" s="73"/>
      <c r="M113" s="91"/>
      <c r="N113" s="73"/>
      <c r="O113" s="82"/>
      <c r="P113" s="41"/>
      <c r="Q113" s="83"/>
      <c r="R113" s="84"/>
      <c r="S113" s="87"/>
      <c r="T113" s="87"/>
      <c r="U113" s="87"/>
      <c r="V113" s="87"/>
      <c r="X113" s="451" t="s">
        <v>41</v>
      </c>
      <c r="Y113" s="452" t="s">
        <v>63</v>
      </c>
      <c r="Z113" s="453" t="s">
        <v>29</v>
      </c>
      <c r="AA113" s="453">
        <v>13</v>
      </c>
      <c r="AB113" s="544" t="s">
        <v>385</v>
      </c>
      <c r="AC113" s="473" t="s">
        <v>127</v>
      </c>
      <c r="AD113" s="672">
        <f>AD114</f>
        <v>18603.599999999999</v>
      </c>
      <c r="AE113" s="634">
        <f>AE114</f>
        <v>8603.6</v>
      </c>
      <c r="AF113" s="645">
        <f>AF114</f>
        <v>8603.6</v>
      </c>
      <c r="AG113" s="180"/>
      <c r="AH113" s="180"/>
      <c r="AI113" s="147"/>
    </row>
    <row r="114" spans="1:35" x14ac:dyDescent="0.25">
      <c r="A114" s="93"/>
      <c r="B114" s="78"/>
      <c r="C114" s="79"/>
      <c r="D114" s="79"/>
      <c r="E114" s="80"/>
      <c r="F114" s="79"/>
      <c r="G114" s="79"/>
      <c r="H114" s="94"/>
      <c r="I114" s="91"/>
      <c r="J114" s="91"/>
      <c r="K114" s="91"/>
      <c r="L114" s="73"/>
      <c r="M114" s="91"/>
      <c r="N114" s="73"/>
      <c r="O114" s="82"/>
      <c r="P114" s="41"/>
      <c r="Q114" s="83"/>
      <c r="R114" s="84"/>
      <c r="S114" s="87"/>
      <c r="T114" s="87"/>
      <c r="U114" s="87"/>
      <c r="V114" s="87"/>
      <c r="X114" s="451" t="s">
        <v>68</v>
      </c>
      <c r="Y114" s="452" t="s">
        <v>63</v>
      </c>
      <c r="Z114" s="453" t="s">
        <v>29</v>
      </c>
      <c r="AA114" s="453">
        <v>13</v>
      </c>
      <c r="AB114" s="544" t="s">
        <v>385</v>
      </c>
      <c r="AC114" s="473" t="s">
        <v>128</v>
      </c>
      <c r="AD114" s="672">
        <v>18603.599999999999</v>
      </c>
      <c r="AE114" s="634">
        <v>8603.6</v>
      </c>
      <c r="AF114" s="645">
        <v>8603.6</v>
      </c>
      <c r="AG114" s="180"/>
      <c r="AH114" s="180"/>
      <c r="AI114" s="147"/>
    </row>
    <row r="115" spans="1:35" x14ac:dyDescent="0.25">
      <c r="A115" s="93"/>
      <c r="B115" s="78"/>
      <c r="C115" s="79"/>
      <c r="D115" s="79"/>
      <c r="E115" s="80"/>
      <c r="F115" s="79"/>
      <c r="G115" s="79"/>
      <c r="H115" s="94"/>
      <c r="I115" s="91"/>
      <c r="J115" s="91"/>
      <c r="K115" s="91"/>
      <c r="L115" s="73"/>
      <c r="M115" s="91"/>
      <c r="N115" s="73"/>
      <c r="O115" s="82"/>
      <c r="P115" s="41"/>
      <c r="Q115" s="83"/>
      <c r="R115" s="84"/>
      <c r="S115" s="87"/>
      <c r="T115" s="87"/>
      <c r="U115" s="87"/>
      <c r="V115" s="87"/>
      <c r="X115" s="451" t="s">
        <v>120</v>
      </c>
      <c r="Y115" s="452" t="s">
        <v>63</v>
      </c>
      <c r="Z115" s="453" t="s">
        <v>29</v>
      </c>
      <c r="AA115" s="453">
        <v>13</v>
      </c>
      <c r="AB115" s="544" t="s">
        <v>385</v>
      </c>
      <c r="AC115" s="473" t="s">
        <v>37</v>
      </c>
      <c r="AD115" s="672">
        <f>AD116</f>
        <v>993.3</v>
      </c>
      <c r="AE115" s="634">
        <f>AE116</f>
        <v>704</v>
      </c>
      <c r="AF115" s="645">
        <f>AF116</f>
        <v>704</v>
      </c>
      <c r="AG115" s="180"/>
      <c r="AH115" s="180"/>
      <c r="AI115" s="147"/>
    </row>
    <row r="116" spans="1:35" ht="31.5" x14ac:dyDescent="0.25">
      <c r="A116" s="93"/>
      <c r="B116" s="78"/>
      <c r="C116" s="79"/>
      <c r="D116" s="79"/>
      <c r="E116" s="80"/>
      <c r="F116" s="79"/>
      <c r="G116" s="79"/>
      <c r="H116" s="94"/>
      <c r="I116" s="91"/>
      <c r="J116" s="91"/>
      <c r="K116" s="91"/>
      <c r="L116" s="73"/>
      <c r="M116" s="91"/>
      <c r="N116" s="73"/>
      <c r="O116" s="82"/>
      <c r="P116" s="41"/>
      <c r="Q116" s="83"/>
      <c r="R116" s="84"/>
      <c r="S116" s="87"/>
      <c r="T116" s="87"/>
      <c r="U116" s="87"/>
      <c r="V116" s="87"/>
      <c r="X116" s="451" t="s">
        <v>52</v>
      </c>
      <c r="Y116" s="452" t="s">
        <v>63</v>
      </c>
      <c r="Z116" s="453" t="s">
        <v>29</v>
      </c>
      <c r="AA116" s="453">
        <v>13</v>
      </c>
      <c r="AB116" s="544" t="s">
        <v>385</v>
      </c>
      <c r="AC116" s="473" t="s">
        <v>65</v>
      </c>
      <c r="AD116" s="672">
        <f>704+290-0.7</f>
        <v>993.3</v>
      </c>
      <c r="AE116" s="634">
        <v>704</v>
      </c>
      <c r="AF116" s="645">
        <v>704</v>
      </c>
      <c r="AG116" s="180"/>
      <c r="AH116" s="180"/>
      <c r="AI116" s="147"/>
    </row>
    <row r="117" spans="1:35" x14ac:dyDescent="0.25">
      <c r="A117" s="93"/>
      <c r="B117" s="493"/>
      <c r="C117" s="494"/>
      <c r="D117" s="494"/>
      <c r="E117" s="495"/>
      <c r="F117" s="494"/>
      <c r="G117" s="494"/>
      <c r="H117" s="94"/>
      <c r="I117" s="91"/>
      <c r="J117" s="91"/>
      <c r="K117" s="91"/>
      <c r="L117" s="492"/>
      <c r="M117" s="91"/>
      <c r="N117" s="492"/>
      <c r="O117" s="82"/>
      <c r="P117" s="41"/>
      <c r="Q117" s="497"/>
      <c r="R117" s="84"/>
      <c r="S117" s="498"/>
      <c r="T117" s="498"/>
      <c r="U117" s="498"/>
      <c r="V117" s="498"/>
      <c r="X117" s="451" t="s">
        <v>42</v>
      </c>
      <c r="Y117" s="452" t="s">
        <v>63</v>
      </c>
      <c r="Z117" s="453" t="s">
        <v>29</v>
      </c>
      <c r="AA117" s="453">
        <v>13</v>
      </c>
      <c r="AB117" s="544" t="s">
        <v>385</v>
      </c>
      <c r="AC117" s="473" t="s">
        <v>347</v>
      </c>
      <c r="AD117" s="672">
        <f>AD118</f>
        <v>0.7</v>
      </c>
      <c r="AE117" s="672">
        <f t="shared" ref="AE117:AF117" si="24">AE118</f>
        <v>0</v>
      </c>
      <c r="AF117" s="672">
        <f t="shared" si="24"/>
        <v>0</v>
      </c>
      <c r="AG117" s="506"/>
      <c r="AH117" s="506"/>
      <c r="AI117" s="502"/>
    </row>
    <row r="118" spans="1:35" x14ac:dyDescent="0.25">
      <c r="A118" s="93"/>
      <c r="B118" s="493"/>
      <c r="C118" s="494"/>
      <c r="D118" s="494"/>
      <c r="E118" s="495"/>
      <c r="F118" s="494"/>
      <c r="G118" s="494"/>
      <c r="H118" s="94"/>
      <c r="I118" s="91"/>
      <c r="J118" s="91"/>
      <c r="K118" s="91"/>
      <c r="L118" s="492"/>
      <c r="M118" s="91"/>
      <c r="N118" s="492"/>
      <c r="O118" s="82"/>
      <c r="P118" s="41"/>
      <c r="Q118" s="497"/>
      <c r="R118" s="84"/>
      <c r="S118" s="498"/>
      <c r="T118" s="498"/>
      <c r="U118" s="498"/>
      <c r="V118" s="498"/>
      <c r="X118" s="451" t="s">
        <v>57</v>
      </c>
      <c r="Y118" s="452" t="s">
        <v>63</v>
      </c>
      <c r="Z118" s="453" t="s">
        <v>29</v>
      </c>
      <c r="AA118" s="453">
        <v>13</v>
      </c>
      <c r="AB118" s="544" t="s">
        <v>385</v>
      </c>
      <c r="AC118" s="473" t="s">
        <v>824</v>
      </c>
      <c r="AD118" s="672">
        <v>0.7</v>
      </c>
      <c r="AE118" s="634">
        <v>0</v>
      </c>
      <c r="AF118" s="645">
        <v>0</v>
      </c>
      <c r="AG118" s="506"/>
      <c r="AH118" s="506"/>
      <c r="AI118" s="502"/>
    </row>
    <row r="119" spans="1:35" ht="31.5" x14ac:dyDescent="0.25">
      <c r="A119" s="93"/>
      <c r="B119" s="493"/>
      <c r="C119" s="494"/>
      <c r="D119" s="494"/>
      <c r="E119" s="495"/>
      <c r="F119" s="494"/>
      <c r="G119" s="494"/>
      <c r="H119" s="94"/>
      <c r="I119" s="91"/>
      <c r="J119" s="91"/>
      <c r="K119" s="91"/>
      <c r="L119" s="492"/>
      <c r="M119" s="91"/>
      <c r="N119" s="492"/>
      <c r="O119" s="82"/>
      <c r="P119" s="41"/>
      <c r="Q119" s="497"/>
      <c r="R119" s="84"/>
      <c r="S119" s="498"/>
      <c r="T119" s="498"/>
      <c r="U119" s="498"/>
      <c r="V119" s="498"/>
      <c r="X119" s="451" t="s">
        <v>534</v>
      </c>
      <c r="Y119" s="452" t="s">
        <v>63</v>
      </c>
      <c r="Z119" s="453" t="s">
        <v>29</v>
      </c>
      <c r="AA119" s="453">
        <v>13</v>
      </c>
      <c r="AB119" s="544" t="s">
        <v>535</v>
      </c>
      <c r="AC119" s="454"/>
      <c r="AD119" s="672">
        <f>AD120</f>
        <v>87.2</v>
      </c>
      <c r="AE119" s="634">
        <f t="shared" ref="AE119:AF119" si="25">AE120</f>
        <v>82.9</v>
      </c>
      <c r="AF119" s="645">
        <f t="shared" si="25"/>
        <v>84.9</v>
      </c>
      <c r="AG119" s="506"/>
      <c r="AH119" s="506"/>
      <c r="AI119" s="502"/>
    </row>
    <row r="120" spans="1:35" ht="78.75" x14ac:dyDescent="0.25">
      <c r="A120" s="93"/>
      <c r="B120" s="493"/>
      <c r="C120" s="494"/>
      <c r="D120" s="494"/>
      <c r="E120" s="495"/>
      <c r="F120" s="494"/>
      <c r="G120" s="494"/>
      <c r="H120" s="94"/>
      <c r="I120" s="91"/>
      <c r="J120" s="91"/>
      <c r="K120" s="91"/>
      <c r="L120" s="492"/>
      <c r="M120" s="91"/>
      <c r="N120" s="492"/>
      <c r="O120" s="82"/>
      <c r="P120" s="41"/>
      <c r="Q120" s="497"/>
      <c r="R120" s="84"/>
      <c r="S120" s="498"/>
      <c r="T120" s="498"/>
      <c r="U120" s="498"/>
      <c r="V120" s="498"/>
      <c r="X120" s="451" t="s">
        <v>406</v>
      </c>
      <c r="Y120" s="452" t="s">
        <v>63</v>
      </c>
      <c r="Z120" s="453" t="s">
        <v>29</v>
      </c>
      <c r="AA120" s="453">
        <v>13</v>
      </c>
      <c r="AB120" s="542" t="s">
        <v>536</v>
      </c>
      <c r="AC120" s="454"/>
      <c r="AD120" s="672">
        <f>AD121</f>
        <v>87.2</v>
      </c>
      <c r="AE120" s="634">
        <f t="shared" ref="AE120:AF120" si="26">AE121</f>
        <v>82.9</v>
      </c>
      <c r="AF120" s="645">
        <f t="shared" si="26"/>
        <v>84.9</v>
      </c>
      <c r="AG120" s="506"/>
      <c r="AH120" s="506"/>
      <c r="AI120" s="502"/>
    </row>
    <row r="121" spans="1:35" x14ac:dyDescent="0.25">
      <c r="A121" s="93"/>
      <c r="B121" s="493"/>
      <c r="C121" s="494"/>
      <c r="D121" s="494"/>
      <c r="E121" s="495"/>
      <c r="F121" s="494"/>
      <c r="G121" s="494"/>
      <c r="H121" s="94"/>
      <c r="I121" s="91"/>
      <c r="J121" s="91"/>
      <c r="K121" s="91"/>
      <c r="L121" s="492"/>
      <c r="M121" s="91"/>
      <c r="N121" s="492"/>
      <c r="O121" s="82"/>
      <c r="P121" s="41"/>
      <c r="Q121" s="497"/>
      <c r="R121" s="84"/>
      <c r="S121" s="498"/>
      <c r="T121" s="498"/>
      <c r="U121" s="498"/>
      <c r="V121" s="498"/>
      <c r="X121" s="451" t="s">
        <v>120</v>
      </c>
      <c r="Y121" s="452" t="s">
        <v>63</v>
      </c>
      <c r="Z121" s="453" t="s">
        <v>29</v>
      </c>
      <c r="AA121" s="453">
        <v>13</v>
      </c>
      <c r="AB121" s="542" t="s">
        <v>536</v>
      </c>
      <c r="AC121" s="454">
        <v>200</v>
      </c>
      <c r="AD121" s="672">
        <f>AD122</f>
        <v>87.2</v>
      </c>
      <c r="AE121" s="634">
        <f t="shared" ref="AE121:AF121" si="27">AE122</f>
        <v>82.9</v>
      </c>
      <c r="AF121" s="645">
        <f t="shared" si="27"/>
        <v>84.9</v>
      </c>
      <c r="AG121" s="506"/>
      <c r="AH121" s="506"/>
      <c r="AI121" s="502"/>
    </row>
    <row r="122" spans="1:35" ht="31.5" x14ac:dyDescent="0.25">
      <c r="A122" s="93"/>
      <c r="B122" s="493"/>
      <c r="C122" s="494"/>
      <c r="D122" s="494"/>
      <c r="E122" s="495"/>
      <c r="F122" s="494"/>
      <c r="G122" s="494"/>
      <c r="H122" s="94"/>
      <c r="I122" s="91"/>
      <c r="J122" s="91"/>
      <c r="K122" s="91"/>
      <c r="L122" s="492"/>
      <c r="M122" s="91"/>
      <c r="N122" s="492"/>
      <c r="O122" s="82"/>
      <c r="P122" s="41"/>
      <c r="Q122" s="497"/>
      <c r="R122" s="84"/>
      <c r="S122" s="498"/>
      <c r="T122" s="498"/>
      <c r="U122" s="498"/>
      <c r="V122" s="498"/>
      <c r="X122" s="451" t="s">
        <v>52</v>
      </c>
      <c r="Y122" s="452" t="s">
        <v>63</v>
      </c>
      <c r="Z122" s="453" t="s">
        <v>29</v>
      </c>
      <c r="AA122" s="453">
        <v>13</v>
      </c>
      <c r="AB122" s="542" t="s">
        <v>536</v>
      </c>
      <c r="AC122" s="454">
        <v>240</v>
      </c>
      <c r="AD122" s="672">
        <f>45.2+36+3+3</f>
        <v>87.2</v>
      </c>
      <c r="AE122" s="634">
        <f>46.9+36</f>
        <v>82.9</v>
      </c>
      <c r="AF122" s="645">
        <f>48.9+36</f>
        <v>84.9</v>
      </c>
      <c r="AG122" s="506"/>
      <c r="AH122" s="506"/>
      <c r="AI122" s="502"/>
    </row>
    <row r="123" spans="1:35" ht="31.5" x14ac:dyDescent="0.25">
      <c r="A123" s="90"/>
      <c r="B123" s="78"/>
      <c r="C123" s="79"/>
      <c r="D123" s="79"/>
      <c r="E123" s="80"/>
      <c r="F123" s="79"/>
      <c r="G123" s="81"/>
      <c r="H123" s="40"/>
      <c r="I123" s="91"/>
      <c r="J123" s="91"/>
      <c r="K123" s="91"/>
      <c r="L123" s="73"/>
      <c r="M123" s="91"/>
      <c r="N123" s="73"/>
      <c r="O123" s="82"/>
      <c r="P123" s="81"/>
      <c r="Q123" s="83"/>
      <c r="R123" s="84"/>
      <c r="S123" s="87"/>
      <c r="T123" s="87"/>
      <c r="U123" s="87"/>
      <c r="V123" s="87"/>
      <c r="X123" s="459" t="s">
        <v>298</v>
      </c>
      <c r="Y123" s="452" t="s">
        <v>63</v>
      </c>
      <c r="Z123" s="453" t="s">
        <v>29</v>
      </c>
      <c r="AA123" s="453">
        <v>13</v>
      </c>
      <c r="AB123" s="542" t="s">
        <v>132</v>
      </c>
      <c r="AC123" s="454"/>
      <c r="AD123" s="672">
        <f t="shared" ref="AD123:AF124" si="28">AD124</f>
        <v>0.6</v>
      </c>
      <c r="AE123" s="634">
        <f t="shared" si="28"/>
        <v>922</v>
      </c>
      <c r="AF123" s="645">
        <f t="shared" si="28"/>
        <v>20.2</v>
      </c>
      <c r="AG123" s="180"/>
      <c r="AH123" s="180"/>
      <c r="AI123" s="147"/>
    </row>
    <row r="124" spans="1:35" x14ac:dyDescent="0.25">
      <c r="A124" s="90"/>
      <c r="B124" s="78"/>
      <c r="C124" s="79"/>
      <c r="D124" s="79"/>
      <c r="E124" s="80"/>
      <c r="F124" s="79"/>
      <c r="G124" s="81"/>
      <c r="H124" s="40"/>
      <c r="I124" s="91"/>
      <c r="J124" s="91"/>
      <c r="K124" s="91"/>
      <c r="L124" s="73"/>
      <c r="M124" s="91"/>
      <c r="N124" s="73"/>
      <c r="O124" s="82"/>
      <c r="P124" s="81"/>
      <c r="Q124" s="83"/>
      <c r="R124" s="84"/>
      <c r="S124" s="87"/>
      <c r="T124" s="87"/>
      <c r="U124" s="87"/>
      <c r="V124" s="87"/>
      <c r="X124" s="459" t="s">
        <v>48</v>
      </c>
      <c r="Y124" s="452" t="s">
        <v>63</v>
      </c>
      <c r="Z124" s="453" t="s">
        <v>29</v>
      </c>
      <c r="AA124" s="453">
        <v>13</v>
      </c>
      <c r="AB124" s="542" t="s">
        <v>444</v>
      </c>
      <c r="AC124" s="454"/>
      <c r="AD124" s="672">
        <f t="shared" si="28"/>
        <v>0.6</v>
      </c>
      <c r="AE124" s="634">
        <f t="shared" si="28"/>
        <v>922</v>
      </c>
      <c r="AF124" s="645">
        <f t="shared" si="28"/>
        <v>20.2</v>
      </c>
      <c r="AG124" s="180"/>
      <c r="AH124" s="180"/>
      <c r="AI124" s="147"/>
    </row>
    <row r="125" spans="1:35" ht="31.5" x14ac:dyDescent="0.25">
      <c r="A125" s="90"/>
      <c r="B125" s="78"/>
      <c r="C125" s="79"/>
      <c r="D125" s="79"/>
      <c r="E125" s="80"/>
      <c r="F125" s="79"/>
      <c r="G125" s="81"/>
      <c r="H125" s="40"/>
      <c r="I125" s="91"/>
      <c r="J125" s="91"/>
      <c r="K125" s="91"/>
      <c r="L125" s="73"/>
      <c r="M125" s="91"/>
      <c r="N125" s="73"/>
      <c r="O125" s="82"/>
      <c r="P125" s="81"/>
      <c r="Q125" s="83"/>
      <c r="R125" s="84"/>
      <c r="S125" s="87"/>
      <c r="T125" s="87"/>
      <c r="U125" s="87"/>
      <c r="V125" s="87"/>
      <c r="X125" s="660" t="s">
        <v>311</v>
      </c>
      <c r="Y125" s="452" t="s">
        <v>63</v>
      </c>
      <c r="Z125" s="453" t="s">
        <v>29</v>
      </c>
      <c r="AA125" s="453">
        <v>13</v>
      </c>
      <c r="AB125" s="542" t="s">
        <v>453</v>
      </c>
      <c r="AC125" s="454"/>
      <c r="AD125" s="672">
        <f t="shared" ref="AD125:AF127" si="29">AD126</f>
        <v>0.6</v>
      </c>
      <c r="AE125" s="634">
        <f t="shared" si="29"/>
        <v>922</v>
      </c>
      <c r="AF125" s="645">
        <f t="shared" si="29"/>
        <v>20.2</v>
      </c>
      <c r="AG125" s="180"/>
      <c r="AH125" s="180"/>
      <c r="AI125" s="147"/>
    </row>
    <row r="126" spans="1:35" ht="31.5" x14ac:dyDescent="0.25">
      <c r="A126" s="90"/>
      <c r="B126" s="78"/>
      <c r="C126" s="79"/>
      <c r="D126" s="79"/>
      <c r="E126" s="80"/>
      <c r="F126" s="79"/>
      <c r="G126" s="81"/>
      <c r="H126" s="40"/>
      <c r="I126" s="91"/>
      <c r="J126" s="91"/>
      <c r="K126" s="91"/>
      <c r="L126" s="73"/>
      <c r="M126" s="91"/>
      <c r="N126" s="73"/>
      <c r="O126" s="82"/>
      <c r="P126" s="81"/>
      <c r="Q126" s="83"/>
      <c r="R126" s="84"/>
      <c r="S126" s="87"/>
      <c r="T126" s="87"/>
      <c r="U126" s="87"/>
      <c r="V126" s="87"/>
      <c r="X126" s="656" t="s">
        <v>455</v>
      </c>
      <c r="Y126" s="452" t="s">
        <v>63</v>
      </c>
      <c r="Z126" s="453" t="s">
        <v>29</v>
      </c>
      <c r="AA126" s="453">
        <v>13</v>
      </c>
      <c r="AB126" s="542" t="s">
        <v>454</v>
      </c>
      <c r="AC126" s="454"/>
      <c r="AD126" s="672">
        <f t="shared" si="29"/>
        <v>0.6</v>
      </c>
      <c r="AE126" s="634">
        <f t="shared" si="29"/>
        <v>922</v>
      </c>
      <c r="AF126" s="645">
        <f t="shared" si="29"/>
        <v>20.2</v>
      </c>
      <c r="AG126" s="180"/>
      <c r="AH126" s="180"/>
      <c r="AI126" s="147"/>
    </row>
    <row r="127" spans="1:35" x14ac:dyDescent="0.25">
      <c r="A127" s="90"/>
      <c r="B127" s="78"/>
      <c r="C127" s="79"/>
      <c r="D127" s="79"/>
      <c r="E127" s="80"/>
      <c r="F127" s="79"/>
      <c r="G127" s="81"/>
      <c r="H127" s="40"/>
      <c r="I127" s="91"/>
      <c r="J127" s="91"/>
      <c r="K127" s="91"/>
      <c r="L127" s="73"/>
      <c r="M127" s="91"/>
      <c r="N127" s="73"/>
      <c r="O127" s="82"/>
      <c r="P127" s="81"/>
      <c r="Q127" s="83"/>
      <c r="R127" s="84"/>
      <c r="S127" s="87"/>
      <c r="T127" s="87"/>
      <c r="U127" s="87"/>
      <c r="V127" s="87"/>
      <c r="X127" s="451" t="s">
        <v>120</v>
      </c>
      <c r="Y127" s="452" t="s">
        <v>63</v>
      </c>
      <c r="Z127" s="453" t="s">
        <v>29</v>
      </c>
      <c r="AA127" s="453">
        <v>13</v>
      </c>
      <c r="AB127" s="542" t="s">
        <v>454</v>
      </c>
      <c r="AC127" s="454">
        <v>200</v>
      </c>
      <c r="AD127" s="672">
        <f t="shared" si="29"/>
        <v>0.6</v>
      </c>
      <c r="AE127" s="634">
        <f t="shared" si="29"/>
        <v>922</v>
      </c>
      <c r="AF127" s="645">
        <f t="shared" si="29"/>
        <v>20.2</v>
      </c>
      <c r="AG127" s="180"/>
      <c r="AH127" s="180"/>
      <c r="AI127" s="147"/>
    </row>
    <row r="128" spans="1:35" ht="31.5" x14ac:dyDescent="0.25">
      <c r="A128" s="90"/>
      <c r="B128" s="78"/>
      <c r="C128" s="79"/>
      <c r="D128" s="79"/>
      <c r="E128" s="80"/>
      <c r="F128" s="79"/>
      <c r="G128" s="81"/>
      <c r="H128" s="40"/>
      <c r="I128" s="91"/>
      <c r="J128" s="91"/>
      <c r="K128" s="91"/>
      <c r="L128" s="73"/>
      <c r="M128" s="91"/>
      <c r="N128" s="73"/>
      <c r="O128" s="82"/>
      <c r="P128" s="81"/>
      <c r="Q128" s="83"/>
      <c r="R128" s="84"/>
      <c r="S128" s="87"/>
      <c r="T128" s="87"/>
      <c r="U128" s="87"/>
      <c r="V128" s="87"/>
      <c r="X128" s="451" t="s">
        <v>52</v>
      </c>
      <c r="Y128" s="452" t="s">
        <v>63</v>
      </c>
      <c r="Z128" s="453" t="s">
        <v>29</v>
      </c>
      <c r="AA128" s="453">
        <v>13</v>
      </c>
      <c r="AB128" s="542" t="s">
        <v>454</v>
      </c>
      <c r="AC128" s="454">
        <v>240</v>
      </c>
      <c r="AD128" s="672">
        <v>0.6</v>
      </c>
      <c r="AE128" s="634">
        <v>922</v>
      </c>
      <c r="AF128" s="645">
        <v>20.2</v>
      </c>
      <c r="AG128" s="180"/>
      <c r="AH128" s="180"/>
      <c r="AI128" s="147"/>
    </row>
    <row r="129" spans="1:35" x14ac:dyDescent="0.25">
      <c r="A129" s="90"/>
      <c r="B129" s="78"/>
      <c r="C129" s="79"/>
      <c r="D129" s="79"/>
      <c r="E129" s="80"/>
      <c r="F129" s="79"/>
      <c r="G129" s="81"/>
      <c r="H129" s="40"/>
      <c r="I129" s="91"/>
      <c r="J129" s="91"/>
      <c r="K129" s="91"/>
      <c r="L129" s="73"/>
      <c r="M129" s="91"/>
      <c r="N129" s="73"/>
      <c r="O129" s="82"/>
      <c r="P129" s="81"/>
      <c r="Q129" s="83"/>
      <c r="R129" s="84"/>
      <c r="S129" s="87"/>
      <c r="T129" s="87"/>
      <c r="U129" s="87"/>
      <c r="V129" s="87"/>
      <c r="X129" s="457" t="s">
        <v>233</v>
      </c>
      <c r="Y129" s="452" t="s">
        <v>63</v>
      </c>
      <c r="Z129" s="453" t="s">
        <v>29</v>
      </c>
      <c r="AA129" s="453">
        <v>13</v>
      </c>
      <c r="AB129" s="542" t="s">
        <v>234</v>
      </c>
      <c r="AC129" s="454"/>
      <c r="AD129" s="672">
        <f>AD130</f>
        <v>57349</v>
      </c>
      <c r="AE129" s="634">
        <f t="shared" ref="AE129:AF129" si="30">AE130</f>
        <v>52633</v>
      </c>
      <c r="AF129" s="645">
        <f t="shared" si="30"/>
        <v>53039</v>
      </c>
      <c r="AG129" s="180"/>
      <c r="AH129" s="180"/>
      <c r="AI129" s="147"/>
    </row>
    <row r="130" spans="1:35" x14ac:dyDescent="0.25">
      <c r="A130" s="90"/>
      <c r="B130" s="78"/>
      <c r="C130" s="79"/>
      <c r="D130" s="79"/>
      <c r="E130" s="80"/>
      <c r="F130" s="79"/>
      <c r="G130" s="81"/>
      <c r="H130" s="40"/>
      <c r="I130" s="91"/>
      <c r="J130" s="91"/>
      <c r="K130" s="91"/>
      <c r="L130" s="73"/>
      <c r="M130" s="91"/>
      <c r="N130" s="73"/>
      <c r="O130" s="82"/>
      <c r="P130" s="81"/>
      <c r="Q130" s="83"/>
      <c r="R130" s="84"/>
      <c r="S130" s="87"/>
      <c r="T130" s="87"/>
      <c r="U130" s="87"/>
      <c r="V130" s="87"/>
      <c r="X130" s="451" t="s">
        <v>48</v>
      </c>
      <c r="Y130" s="452" t="s">
        <v>63</v>
      </c>
      <c r="Z130" s="453" t="s">
        <v>29</v>
      </c>
      <c r="AA130" s="453">
        <v>13</v>
      </c>
      <c r="AB130" s="542" t="s">
        <v>537</v>
      </c>
      <c r="AC130" s="454"/>
      <c r="AD130" s="672">
        <f>AD131</f>
        <v>57349</v>
      </c>
      <c r="AE130" s="634">
        <f t="shared" ref="AE130:AF133" si="31">AE131</f>
        <v>52633</v>
      </c>
      <c r="AF130" s="645">
        <f t="shared" si="31"/>
        <v>53039</v>
      </c>
      <c r="AG130" s="180"/>
      <c r="AH130" s="180"/>
      <c r="AI130" s="147"/>
    </row>
    <row r="131" spans="1:35" ht="31.5" x14ac:dyDescent="0.25">
      <c r="A131" s="90"/>
      <c r="B131" s="78"/>
      <c r="C131" s="79"/>
      <c r="D131" s="79"/>
      <c r="E131" s="80"/>
      <c r="F131" s="79"/>
      <c r="G131" s="81"/>
      <c r="H131" s="40"/>
      <c r="I131" s="91"/>
      <c r="J131" s="91"/>
      <c r="K131" s="91"/>
      <c r="L131" s="73"/>
      <c r="M131" s="91"/>
      <c r="N131" s="73"/>
      <c r="O131" s="82"/>
      <c r="P131" s="81"/>
      <c r="Q131" s="83"/>
      <c r="R131" s="84"/>
      <c r="S131" s="87"/>
      <c r="T131" s="87"/>
      <c r="U131" s="87"/>
      <c r="V131" s="87"/>
      <c r="X131" s="451" t="s">
        <v>327</v>
      </c>
      <c r="Y131" s="452" t="s">
        <v>63</v>
      </c>
      <c r="Z131" s="453" t="s">
        <v>29</v>
      </c>
      <c r="AA131" s="453">
        <v>13</v>
      </c>
      <c r="AB131" s="542" t="s">
        <v>538</v>
      </c>
      <c r="AC131" s="454"/>
      <c r="AD131" s="672">
        <f>AD132</f>
        <v>57349</v>
      </c>
      <c r="AE131" s="634">
        <f t="shared" si="31"/>
        <v>52633</v>
      </c>
      <c r="AF131" s="645">
        <f t="shared" si="31"/>
        <v>53039</v>
      </c>
      <c r="AG131" s="180"/>
      <c r="AH131" s="180"/>
      <c r="AI131" s="147"/>
    </row>
    <row r="132" spans="1:35" ht="31.5" x14ac:dyDescent="0.25">
      <c r="A132" s="90"/>
      <c r="B132" s="78"/>
      <c r="C132" s="79"/>
      <c r="D132" s="79"/>
      <c r="E132" s="80"/>
      <c r="F132" s="79"/>
      <c r="G132" s="81"/>
      <c r="H132" s="40"/>
      <c r="I132" s="91"/>
      <c r="J132" s="91"/>
      <c r="K132" s="91"/>
      <c r="L132" s="73"/>
      <c r="M132" s="91"/>
      <c r="N132" s="73"/>
      <c r="O132" s="82"/>
      <c r="P132" s="81"/>
      <c r="Q132" s="83"/>
      <c r="R132" s="84"/>
      <c r="S132" s="87"/>
      <c r="T132" s="87"/>
      <c r="U132" s="87"/>
      <c r="V132" s="87"/>
      <c r="X132" s="451" t="s">
        <v>235</v>
      </c>
      <c r="Y132" s="452" t="s">
        <v>63</v>
      </c>
      <c r="Z132" s="453" t="s">
        <v>29</v>
      </c>
      <c r="AA132" s="453">
        <v>13</v>
      </c>
      <c r="AB132" s="542" t="s">
        <v>539</v>
      </c>
      <c r="AC132" s="454"/>
      <c r="AD132" s="672">
        <f>AD133</f>
        <v>57349</v>
      </c>
      <c r="AE132" s="634">
        <f t="shared" si="31"/>
        <v>52633</v>
      </c>
      <c r="AF132" s="645">
        <f t="shared" si="31"/>
        <v>53039</v>
      </c>
      <c r="AG132" s="180"/>
      <c r="AH132" s="180"/>
      <c r="AI132" s="147"/>
    </row>
    <row r="133" spans="1:35" ht="31.5" x14ac:dyDescent="0.25">
      <c r="A133" s="90"/>
      <c r="B133" s="78"/>
      <c r="C133" s="79"/>
      <c r="D133" s="79"/>
      <c r="E133" s="80"/>
      <c r="F133" s="79"/>
      <c r="G133" s="81"/>
      <c r="H133" s="40"/>
      <c r="I133" s="91"/>
      <c r="J133" s="91"/>
      <c r="K133" s="91"/>
      <c r="L133" s="73"/>
      <c r="M133" s="91"/>
      <c r="N133" s="73"/>
      <c r="O133" s="82"/>
      <c r="P133" s="81"/>
      <c r="Q133" s="83"/>
      <c r="R133" s="84"/>
      <c r="S133" s="87"/>
      <c r="T133" s="87"/>
      <c r="U133" s="87"/>
      <c r="V133" s="87"/>
      <c r="X133" s="451" t="s">
        <v>60</v>
      </c>
      <c r="Y133" s="452" t="s">
        <v>63</v>
      </c>
      <c r="Z133" s="453" t="s">
        <v>29</v>
      </c>
      <c r="AA133" s="453">
        <v>13</v>
      </c>
      <c r="AB133" s="542" t="s">
        <v>539</v>
      </c>
      <c r="AC133" s="454">
        <v>600</v>
      </c>
      <c r="AD133" s="672">
        <f>AD134</f>
        <v>57349</v>
      </c>
      <c r="AE133" s="634">
        <f t="shared" si="31"/>
        <v>52633</v>
      </c>
      <c r="AF133" s="645">
        <f t="shared" si="31"/>
        <v>53039</v>
      </c>
      <c r="AG133" s="180"/>
      <c r="AH133" s="180"/>
      <c r="AI133" s="147"/>
    </row>
    <row r="134" spans="1:35" x14ac:dyDescent="0.25">
      <c r="A134" s="90"/>
      <c r="B134" s="78"/>
      <c r="C134" s="79"/>
      <c r="D134" s="79"/>
      <c r="E134" s="80"/>
      <c r="F134" s="79"/>
      <c r="G134" s="81"/>
      <c r="H134" s="40"/>
      <c r="I134" s="91"/>
      <c r="J134" s="91"/>
      <c r="K134" s="91"/>
      <c r="L134" s="73"/>
      <c r="M134" s="91"/>
      <c r="N134" s="73"/>
      <c r="O134" s="82"/>
      <c r="P134" s="81"/>
      <c r="Q134" s="83"/>
      <c r="R134" s="84"/>
      <c r="S134" s="87"/>
      <c r="T134" s="87"/>
      <c r="U134" s="87"/>
      <c r="V134" s="87"/>
      <c r="X134" s="451" t="s">
        <v>61</v>
      </c>
      <c r="Y134" s="452" t="s">
        <v>63</v>
      </c>
      <c r="Z134" s="453" t="s">
        <v>29</v>
      </c>
      <c r="AA134" s="453">
        <v>13</v>
      </c>
      <c r="AB134" s="542" t="s">
        <v>539</v>
      </c>
      <c r="AC134" s="454">
        <v>610</v>
      </c>
      <c r="AD134" s="672">
        <f>51719+1320+4310</f>
        <v>57349</v>
      </c>
      <c r="AE134" s="634">
        <f>51719+914</f>
        <v>52633</v>
      </c>
      <c r="AF134" s="645">
        <f>51719+1320</f>
        <v>53039</v>
      </c>
      <c r="AG134" s="180"/>
      <c r="AH134" s="180"/>
      <c r="AI134" s="147"/>
    </row>
    <row r="135" spans="1:35" x14ac:dyDescent="0.25">
      <c r="A135" s="90"/>
      <c r="B135" s="78"/>
      <c r="C135" s="79"/>
      <c r="D135" s="79"/>
      <c r="E135" s="80"/>
      <c r="F135" s="79"/>
      <c r="G135" s="81"/>
      <c r="H135" s="40"/>
      <c r="I135" s="91"/>
      <c r="J135" s="91"/>
      <c r="K135" s="91"/>
      <c r="L135" s="73"/>
      <c r="M135" s="91"/>
      <c r="N135" s="73"/>
      <c r="O135" s="82"/>
      <c r="P135" s="81"/>
      <c r="Q135" s="83"/>
      <c r="R135" s="84"/>
      <c r="S135" s="87"/>
      <c r="T135" s="87"/>
      <c r="U135" s="87"/>
      <c r="V135" s="87"/>
      <c r="X135" s="457" t="s">
        <v>225</v>
      </c>
      <c r="Y135" s="452" t="s">
        <v>63</v>
      </c>
      <c r="Z135" s="453" t="s">
        <v>29</v>
      </c>
      <c r="AA135" s="453">
        <v>13</v>
      </c>
      <c r="AB135" s="542" t="s">
        <v>137</v>
      </c>
      <c r="AC135" s="473"/>
      <c r="AD135" s="672">
        <f>AD136</f>
        <v>150</v>
      </c>
      <c r="AE135" s="634">
        <f t="shared" ref="AE135:AF136" si="32">AE136</f>
        <v>0</v>
      </c>
      <c r="AF135" s="645">
        <f t="shared" si="32"/>
        <v>0</v>
      </c>
      <c r="AG135" s="180"/>
      <c r="AH135" s="180"/>
      <c r="AI135" s="147"/>
    </row>
    <row r="136" spans="1:35" x14ac:dyDescent="0.25">
      <c r="A136" s="90"/>
      <c r="B136" s="78"/>
      <c r="C136" s="79"/>
      <c r="D136" s="79"/>
      <c r="E136" s="80"/>
      <c r="F136" s="79"/>
      <c r="G136" s="81"/>
      <c r="H136" s="40"/>
      <c r="I136" s="91"/>
      <c r="J136" s="91"/>
      <c r="K136" s="91"/>
      <c r="L136" s="73"/>
      <c r="M136" s="91"/>
      <c r="N136" s="73"/>
      <c r="O136" s="82"/>
      <c r="P136" s="81"/>
      <c r="Q136" s="83"/>
      <c r="R136" s="84"/>
      <c r="S136" s="87"/>
      <c r="T136" s="87"/>
      <c r="U136" s="87"/>
      <c r="V136" s="87"/>
      <c r="X136" s="451" t="s">
        <v>427</v>
      </c>
      <c r="Y136" s="452" t="s">
        <v>63</v>
      </c>
      <c r="Z136" s="469" t="s">
        <v>29</v>
      </c>
      <c r="AA136" s="469">
        <v>13</v>
      </c>
      <c r="AB136" s="546" t="s">
        <v>428</v>
      </c>
      <c r="AC136" s="470"/>
      <c r="AD136" s="672">
        <f>AD137</f>
        <v>150</v>
      </c>
      <c r="AE136" s="672">
        <f t="shared" si="32"/>
        <v>0</v>
      </c>
      <c r="AF136" s="672">
        <f t="shared" si="32"/>
        <v>0</v>
      </c>
      <c r="AG136" s="180"/>
      <c r="AH136" s="180"/>
      <c r="AI136" s="147"/>
    </row>
    <row r="137" spans="1:35" s="702" customFormat="1" x14ac:dyDescent="0.25">
      <c r="A137" s="90"/>
      <c r="B137" s="493"/>
      <c r="C137" s="494"/>
      <c r="D137" s="494"/>
      <c r="E137" s="495"/>
      <c r="F137" s="494"/>
      <c r="G137" s="496"/>
      <c r="H137" s="699"/>
      <c r="I137" s="91"/>
      <c r="J137" s="91"/>
      <c r="K137" s="91"/>
      <c r="L137" s="492"/>
      <c r="M137" s="91"/>
      <c r="N137" s="492"/>
      <c r="O137" s="82"/>
      <c r="P137" s="496"/>
      <c r="Q137" s="497"/>
      <c r="R137" s="84"/>
      <c r="S137" s="498"/>
      <c r="T137" s="498"/>
      <c r="U137" s="498"/>
      <c r="V137" s="498"/>
      <c r="W137" s="699"/>
      <c r="X137" s="451" t="s">
        <v>799</v>
      </c>
      <c r="Y137" s="467" t="s">
        <v>63</v>
      </c>
      <c r="Z137" s="469" t="s">
        <v>29</v>
      </c>
      <c r="AA137" s="470">
        <v>13</v>
      </c>
      <c r="AB137" s="700" t="s">
        <v>800</v>
      </c>
      <c r="AC137" s="701"/>
      <c r="AD137" s="698">
        <f t="shared" ref="AD137:AF138" si="33">AD138</f>
        <v>150</v>
      </c>
      <c r="AE137" s="698">
        <f t="shared" si="33"/>
        <v>0</v>
      </c>
      <c r="AF137" s="698">
        <f t="shared" si="33"/>
        <v>0</v>
      </c>
      <c r="AG137" s="506"/>
      <c r="AH137" s="506"/>
      <c r="AI137" s="502"/>
    </row>
    <row r="138" spans="1:35" s="702" customFormat="1" x14ac:dyDescent="0.25">
      <c r="A138" s="90"/>
      <c r="B138" s="493"/>
      <c r="C138" s="494"/>
      <c r="D138" s="494"/>
      <c r="E138" s="495"/>
      <c r="F138" s="494"/>
      <c r="G138" s="496"/>
      <c r="H138" s="699"/>
      <c r="I138" s="91"/>
      <c r="J138" s="91"/>
      <c r="K138" s="91"/>
      <c r="L138" s="492"/>
      <c r="M138" s="91"/>
      <c r="N138" s="492"/>
      <c r="O138" s="82"/>
      <c r="P138" s="496"/>
      <c r="Q138" s="497"/>
      <c r="R138" s="84"/>
      <c r="S138" s="498"/>
      <c r="T138" s="498"/>
      <c r="U138" s="498"/>
      <c r="V138" s="498"/>
      <c r="W138" s="699"/>
      <c r="X138" s="451" t="s">
        <v>42</v>
      </c>
      <c r="Y138" s="467" t="s">
        <v>63</v>
      </c>
      <c r="Z138" s="469" t="s">
        <v>29</v>
      </c>
      <c r="AA138" s="470">
        <v>13</v>
      </c>
      <c r="AB138" s="700" t="s">
        <v>800</v>
      </c>
      <c r="AC138" s="701">
        <v>800</v>
      </c>
      <c r="AD138" s="698">
        <f t="shared" si="33"/>
        <v>150</v>
      </c>
      <c r="AE138" s="698">
        <f t="shared" si="33"/>
        <v>0</v>
      </c>
      <c r="AF138" s="698">
        <f t="shared" si="33"/>
        <v>0</v>
      </c>
      <c r="AG138" s="506"/>
      <c r="AH138" s="506"/>
      <c r="AI138" s="502"/>
    </row>
    <row r="139" spans="1:35" s="702" customFormat="1" x14ac:dyDescent="0.25">
      <c r="A139" s="90"/>
      <c r="B139" s="493"/>
      <c r="C139" s="494"/>
      <c r="D139" s="494"/>
      <c r="E139" s="495"/>
      <c r="F139" s="494"/>
      <c r="G139" s="496"/>
      <c r="H139" s="699"/>
      <c r="I139" s="91"/>
      <c r="J139" s="91"/>
      <c r="K139" s="91"/>
      <c r="L139" s="492"/>
      <c r="M139" s="91"/>
      <c r="N139" s="492"/>
      <c r="O139" s="82"/>
      <c r="P139" s="496"/>
      <c r="Q139" s="497"/>
      <c r="R139" s="84"/>
      <c r="S139" s="498"/>
      <c r="T139" s="498"/>
      <c r="U139" s="498"/>
      <c r="V139" s="498"/>
      <c r="W139" s="699"/>
      <c r="X139" s="451" t="s">
        <v>57</v>
      </c>
      <c r="Y139" s="452" t="s">
        <v>63</v>
      </c>
      <c r="Z139" s="469" t="s">
        <v>29</v>
      </c>
      <c r="AA139" s="470">
        <v>13</v>
      </c>
      <c r="AB139" s="700" t="s">
        <v>800</v>
      </c>
      <c r="AC139" s="701">
        <v>850</v>
      </c>
      <c r="AD139" s="698">
        <f>50+100</f>
        <v>150</v>
      </c>
      <c r="AE139" s="698">
        <v>0</v>
      </c>
      <c r="AF139" s="698">
        <v>0</v>
      </c>
      <c r="AG139" s="506"/>
      <c r="AH139" s="506"/>
      <c r="AI139" s="502"/>
    </row>
    <row r="140" spans="1:35" s="96" customFormat="1" x14ac:dyDescent="0.25">
      <c r="A140" s="68"/>
      <c r="B140" s="69"/>
      <c r="C140" s="71"/>
      <c r="D140" s="71"/>
      <c r="E140" s="72"/>
      <c r="F140" s="72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5"/>
      <c r="R140" s="95"/>
      <c r="S140" s="95"/>
      <c r="T140" s="95"/>
      <c r="U140" s="95"/>
      <c r="V140" s="95"/>
      <c r="W140" s="95"/>
      <c r="X140" s="653" t="s">
        <v>11</v>
      </c>
      <c r="Y140" s="448" t="s">
        <v>63</v>
      </c>
      <c r="Z140" s="471" t="s">
        <v>30</v>
      </c>
      <c r="AA140" s="471"/>
      <c r="AB140" s="539"/>
      <c r="AC140" s="476"/>
      <c r="AD140" s="671">
        <f>AD141+AD148</f>
        <v>5293.4</v>
      </c>
      <c r="AE140" s="633">
        <f>AE141+AE148</f>
        <v>5095.3</v>
      </c>
      <c r="AF140" s="644">
        <f>AF141+AF148</f>
        <v>5267.1</v>
      </c>
      <c r="AG140" s="205"/>
      <c r="AH140" s="205"/>
      <c r="AI140" s="147"/>
    </row>
    <row r="141" spans="1:35" x14ac:dyDescent="0.25">
      <c r="A141" s="97"/>
      <c r="B141" s="78"/>
      <c r="C141" s="79"/>
      <c r="D141" s="79"/>
      <c r="E141" s="80"/>
      <c r="F141" s="80"/>
      <c r="G141" s="81"/>
      <c r="H141" s="81"/>
      <c r="I141" s="81"/>
      <c r="J141" s="81"/>
      <c r="K141" s="81"/>
      <c r="L141" s="73"/>
      <c r="M141" s="81"/>
      <c r="N141" s="73"/>
      <c r="O141" s="81"/>
      <c r="P141" s="81"/>
      <c r="Q141" s="83"/>
      <c r="R141" s="87"/>
      <c r="S141" s="87"/>
      <c r="T141" s="87"/>
      <c r="U141" s="87"/>
      <c r="V141" s="87"/>
      <c r="X141" s="451" t="s">
        <v>12</v>
      </c>
      <c r="Y141" s="452" t="s">
        <v>63</v>
      </c>
      <c r="Z141" s="453" t="s">
        <v>30</v>
      </c>
      <c r="AA141" s="453" t="s">
        <v>7</v>
      </c>
      <c r="AB141" s="541"/>
      <c r="AC141" s="482"/>
      <c r="AD141" s="672">
        <f>AD142</f>
        <v>4643.3999999999996</v>
      </c>
      <c r="AE141" s="634">
        <f>AE142</f>
        <v>5021.3</v>
      </c>
      <c r="AF141" s="645">
        <f>AF142</f>
        <v>5193.1000000000004</v>
      </c>
      <c r="AG141" s="180"/>
      <c r="AH141" s="180"/>
      <c r="AI141" s="147"/>
    </row>
    <row r="142" spans="1:35" ht="31.5" x14ac:dyDescent="0.25">
      <c r="A142" s="47"/>
      <c r="B142" s="78"/>
      <c r="C142" s="79"/>
      <c r="D142" s="79"/>
      <c r="E142" s="80"/>
      <c r="F142" s="80"/>
      <c r="G142" s="81"/>
      <c r="H142" s="81"/>
      <c r="I142" s="81"/>
      <c r="J142" s="81"/>
      <c r="K142" s="81"/>
      <c r="L142" s="73"/>
      <c r="M142" s="81"/>
      <c r="N142" s="73"/>
      <c r="O142" s="81"/>
      <c r="P142" s="81"/>
      <c r="Q142" s="83"/>
      <c r="R142" s="87"/>
      <c r="S142" s="87"/>
      <c r="T142" s="87"/>
      <c r="U142" s="87"/>
      <c r="V142" s="87"/>
      <c r="X142" s="459" t="s">
        <v>298</v>
      </c>
      <c r="Y142" s="452" t="s">
        <v>63</v>
      </c>
      <c r="Z142" s="453" t="s">
        <v>30</v>
      </c>
      <c r="AA142" s="453" t="s">
        <v>7</v>
      </c>
      <c r="AB142" s="542" t="s">
        <v>132</v>
      </c>
      <c r="AC142" s="482"/>
      <c r="AD142" s="672">
        <f t="shared" ref="AD142:AF145" si="34">AD143</f>
        <v>4643.3999999999996</v>
      </c>
      <c r="AE142" s="634">
        <f t="shared" si="34"/>
        <v>5021.3</v>
      </c>
      <c r="AF142" s="645">
        <f t="shared" si="34"/>
        <v>5193.1000000000004</v>
      </c>
      <c r="AG142" s="180"/>
      <c r="AH142" s="180"/>
      <c r="AI142" s="147"/>
    </row>
    <row r="143" spans="1:35" x14ac:dyDescent="0.25">
      <c r="A143" s="47"/>
      <c r="B143" s="78"/>
      <c r="C143" s="79"/>
      <c r="D143" s="79"/>
      <c r="E143" s="80"/>
      <c r="F143" s="80"/>
      <c r="G143" s="81"/>
      <c r="H143" s="81"/>
      <c r="I143" s="81"/>
      <c r="J143" s="81"/>
      <c r="K143" s="81"/>
      <c r="L143" s="73"/>
      <c r="M143" s="81"/>
      <c r="N143" s="73"/>
      <c r="O143" s="81"/>
      <c r="P143" s="81"/>
      <c r="Q143" s="83"/>
      <c r="R143" s="87"/>
      <c r="S143" s="87"/>
      <c r="T143" s="87"/>
      <c r="U143" s="87"/>
      <c r="V143" s="87"/>
      <c r="X143" s="459" t="s">
        <v>48</v>
      </c>
      <c r="Y143" s="452" t="s">
        <v>63</v>
      </c>
      <c r="Z143" s="453" t="s">
        <v>30</v>
      </c>
      <c r="AA143" s="453" t="s">
        <v>7</v>
      </c>
      <c r="AB143" s="542" t="s">
        <v>444</v>
      </c>
      <c r="AC143" s="482"/>
      <c r="AD143" s="672">
        <f t="shared" si="34"/>
        <v>4643.3999999999996</v>
      </c>
      <c r="AE143" s="634">
        <f t="shared" si="34"/>
        <v>5021.3</v>
      </c>
      <c r="AF143" s="645">
        <f t="shared" si="34"/>
        <v>5193.1000000000004</v>
      </c>
      <c r="AG143" s="180"/>
      <c r="AH143" s="180"/>
      <c r="AI143" s="147"/>
    </row>
    <row r="144" spans="1:35" x14ac:dyDescent="0.25">
      <c r="A144" s="47"/>
      <c r="B144" s="78"/>
      <c r="C144" s="79"/>
      <c r="D144" s="79"/>
      <c r="E144" s="80"/>
      <c r="F144" s="80"/>
      <c r="G144" s="81"/>
      <c r="H144" s="81"/>
      <c r="I144" s="81"/>
      <c r="J144" s="81"/>
      <c r="K144" s="81"/>
      <c r="L144" s="73"/>
      <c r="M144" s="81"/>
      <c r="N144" s="73"/>
      <c r="O144" s="81"/>
      <c r="P144" s="81"/>
      <c r="Q144" s="83"/>
      <c r="R144" s="87"/>
      <c r="S144" s="87"/>
      <c r="T144" s="87"/>
      <c r="U144" s="87"/>
      <c r="V144" s="87"/>
      <c r="X144" s="657" t="s">
        <v>457</v>
      </c>
      <c r="Y144" s="452" t="s">
        <v>63</v>
      </c>
      <c r="Z144" s="453" t="s">
        <v>30</v>
      </c>
      <c r="AA144" s="453" t="s">
        <v>7</v>
      </c>
      <c r="AB144" s="542" t="s">
        <v>445</v>
      </c>
      <c r="AC144" s="482"/>
      <c r="AD144" s="672">
        <f t="shared" si="34"/>
        <v>4643.3999999999996</v>
      </c>
      <c r="AE144" s="634">
        <f t="shared" si="34"/>
        <v>5021.3</v>
      </c>
      <c r="AF144" s="645">
        <f t="shared" si="34"/>
        <v>5193.1000000000004</v>
      </c>
      <c r="AG144" s="180"/>
      <c r="AH144" s="180"/>
      <c r="AI144" s="147"/>
    </row>
    <row r="145" spans="1:35" s="100" customFormat="1" ht="31.5" x14ac:dyDescent="0.25">
      <c r="A145" s="98"/>
      <c r="B145" s="69"/>
      <c r="C145" s="71"/>
      <c r="D145" s="71"/>
      <c r="E145" s="72"/>
      <c r="F145" s="99"/>
      <c r="G145" s="73"/>
      <c r="H145" s="73"/>
      <c r="I145" s="73"/>
      <c r="J145" s="73"/>
      <c r="K145" s="73"/>
      <c r="L145" s="73"/>
      <c r="M145" s="73"/>
      <c r="N145" s="73"/>
      <c r="O145" s="74"/>
      <c r="P145" s="73"/>
      <c r="Q145" s="75"/>
      <c r="R145" s="95"/>
      <c r="S145" s="95"/>
      <c r="T145" s="95"/>
      <c r="U145" s="95"/>
      <c r="V145" s="95"/>
      <c r="W145" s="99"/>
      <c r="X145" s="459" t="s">
        <v>456</v>
      </c>
      <c r="Y145" s="452" t="s">
        <v>63</v>
      </c>
      <c r="Z145" s="453" t="s">
        <v>30</v>
      </c>
      <c r="AA145" s="453" t="s">
        <v>7</v>
      </c>
      <c r="AB145" s="542" t="s">
        <v>452</v>
      </c>
      <c r="AC145" s="569"/>
      <c r="AD145" s="672">
        <f>AD146</f>
        <v>4643.3999999999996</v>
      </c>
      <c r="AE145" s="634">
        <f t="shared" si="34"/>
        <v>5021.3</v>
      </c>
      <c r="AF145" s="645">
        <f t="shared" si="34"/>
        <v>5193.1000000000004</v>
      </c>
      <c r="AG145" s="180"/>
      <c r="AH145" s="180"/>
      <c r="AI145" s="147"/>
    </row>
    <row r="146" spans="1:35" s="40" customFormat="1" ht="47.25" x14ac:dyDescent="0.25">
      <c r="A146" s="101"/>
      <c r="B146" s="78"/>
      <c r="C146" s="79"/>
      <c r="D146" s="79"/>
      <c r="E146" s="80"/>
      <c r="F146" s="102"/>
      <c r="G146" s="81"/>
      <c r="H146" s="81"/>
      <c r="I146" s="81"/>
      <c r="J146" s="81"/>
      <c r="K146" s="81"/>
      <c r="L146" s="73"/>
      <c r="M146" s="81"/>
      <c r="N146" s="73"/>
      <c r="O146" s="92"/>
      <c r="P146" s="81"/>
      <c r="Q146" s="83"/>
      <c r="R146" s="87"/>
      <c r="S146" s="87"/>
      <c r="T146" s="87"/>
      <c r="U146" s="87"/>
      <c r="V146" s="87"/>
      <c r="W146" s="102"/>
      <c r="X146" s="451" t="s">
        <v>41</v>
      </c>
      <c r="Y146" s="452" t="s">
        <v>63</v>
      </c>
      <c r="Z146" s="453" t="s">
        <v>30</v>
      </c>
      <c r="AA146" s="453" t="s">
        <v>7</v>
      </c>
      <c r="AB146" s="542" t="s">
        <v>452</v>
      </c>
      <c r="AC146" s="454">
        <v>100</v>
      </c>
      <c r="AD146" s="672">
        <f>AD147</f>
        <v>4643.3999999999996</v>
      </c>
      <c r="AE146" s="634">
        <f>AE147</f>
        <v>5021.3</v>
      </c>
      <c r="AF146" s="645">
        <f>AF147</f>
        <v>5193.1000000000004</v>
      </c>
      <c r="AG146" s="180"/>
      <c r="AH146" s="180"/>
      <c r="AI146" s="147"/>
    </row>
    <row r="147" spans="1:35" x14ac:dyDescent="0.25">
      <c r="A147" s="90"/>
      <c r="B147" s="78"/>
      <c r="C147" s="79"/>
      <c r="D147" s="79"/>
      <c r="E147" s="80"/>
      <c r="F147" s="79"/>
      <c r="G147" s="81"/>
      <c r="H147" s="102"/>
      <c r="I147" s="102"/>
      <c r="J147" s="102"/>
      <c r="K147" s="102"/>
      <c r="L147" s="73"/>
      <c r="M147" s="102"/>
      <c r="N147" s="73"/>
      <c r="O147" s="92"/>
      <c r="P147" s="81"/>
      <c r="Q147" s="83"/>
      <c r="R147" s="84"/>
      <c r="S147" s="87"/>
      <c r="T147" s="87"/>
      <c r="U147" s="87"/>
      <c r="V147" s="87"/>
      <c r="W147" s="102"/>
      <c r="X147" s="451" t="s">
        <v>96</v>
      </c>
      <c r="Y147" s="452" t="s">
        <v>63</v>
      </c>
      <c r="Z147" s="453" t="s">
        <v>30</v>
      </c>
      <c r="AA147" s="453" t="s">
        <v>7</v>
      </c>
      <c r="AB147" s="542" t="s">
        <v>452</v>
      </c>
      <c r="AC147" s="454">
        <v>120</v>
      </c>
      <c r="AD147" s="672">
        <v>4643.3999999999996</v>
      </c>
      <c r="AE147" s="634">
        <v>5021.3</v>
      </c>
      <c r="AF147" s="645">
        <v>5193.1000000000004</v>
      </c>
      <c r="AG147" s="180"/>
      <c r="AH147" s="180"/>
      <c r="AI147" s="147"/>
    </row>
    <row r="148" spans="1:35" x14ac:dyDescent="0.25">
      <c r="A148" s="90"/>
      <c r="B148" s="78"/>
      <c r="C148" s="79"/>
      <c r="D148" s="79"/>
      <c r="E148" s="80"/>
      <c r="F148" s="79"/>
      <c r="G148" s="81"/>
      <c r="H148" s="102"/>
      <c r="I148" s="102"/>
      <c r="J148" s="102"/>
      <c r="K148" s="102"/>
      <c r="L148" s="73"/>
      <c r="M148" s="102"/>
      <c r="N148" s="73"/>
      <c r="O148" s="92"/>
      <c r="P148" s="81"/>
      <c r="Q148" s="83"/>
      <c r="R148" s="84"/>
      <c r="S148" s="87"/>
      <c r="T148" s="87"/>
      <c r="U148" s="87"/>
      <c r="V148" s="87"/>
      <c r="W148" s="102"/>
      <c r="X148" s="451" t="s">
        <v>47</v>
      </c>
      <c r="Y148" s="452" t="s">
        <v>63</v>
      </c>
      <c r="Z148" s="453" t="s">
        <v>30</v>
      </c>
      <c r="AA148" s="453" t="s">
        <v>49</v>
      </c>
      <c r="AB148" s="541"/>
      <c r="AC148" s="454"/>
      <c r="AD148" s="672">
        <f t="shared" ref="AD148:AF153" si="35">AD149</f>
        <v>650</v>
      </c>
      <c r="AE148" s="634">
        <f t="shared" si="35"/>
        <v>74</v>
      </c>
      <c r="AF148" s="645">
        <f t="shared" si="35"/>
        <v>74</v>
      </c>
      <c r="AG148" s="180"/>
      <c r="AH148" s="180"/>
      <c r="AI148" s="147"/>
    </row>
    <row r="149" spans="1:35" x14ac:dyDescent="0.25">
      <c r="A149" s="90"/>
      <c r="B149" s="78"/>
      <c r="C149" s="79"/>
      <c r="D149" s="79"/>
      <c r="E149" s="80"/>
      <c r="F149" s="79"/>
      <c r="G149" s="81"/>
      <c r="H149" s="102"/>
      <c r="I149" s="102"/>
      <c r="J149" s="102"/>
      <c r="K149" s="102"/>
      <c r="L149" s="73"/>
      <c r="M149" s="102"/>
      <c r="N149" s="73"/>
      <c r="O149" s="92"/>
      <c r="P149" s="81"/>
      <c r="Q149" s="83"/>
      <c r="R149" s="84"/>
      <c r="S149" s="87"/>
      <c r="T149" s="87"/>
      <c r="U149" s="87"/>
      <c r="V149" s="87"/>
      <c r="W149" s="102"/>
      <c r="X149" s="457" t="s">
        <v>186</v>
      </c>
      <c r="Y149" s="452" t="s">
        <v>63</v>
      </c>
      <c r="Z149" s="453" t="s">
        <v>30</v>
      </c>
      <c r="AA149" s="453" t="s">
        <v>49</v>
      </c>
      <c r="AB149" s="542" t="s">
        <v>112</v>
      </c>
      <c r="AC149" s="454"/>
      <c r="AD149" s="672">
        <f t="shared" si="35"/>
        <v>650</v>
      </c>
      <c r="AE149" s="634">
        <f t="shared" si="35"/>
        <v>74</v>
      </c>
      <c r="AF149" s="645">
        <f t="shared" si="35"/>
        <v>74</v>
      </c>
      <c r="AG149" s="180"/>
      <c r="AH149" s="180"/>
      <c r="AI149" s="147"/>
    </row>
    <row r="150" spans="1:35" x14ac:dyDescent="0.25">
      <c r="A150" s="90"/>
      <c r="B150" s="78"/>
      <c r="C150" s="79"/>
      <c r="D150" s="79"/>
      <c r="E150" s="80"/>
      <c r="F150" s="79"/>
      <c r="G150" s="81"/>
      <c r="H150" s="102"/>
      <c r="I150" s="102"/>
      <c r="J150" s="102"/>
      <c r="K150" s="102"/>
      <c r="L150" s="73"/>
      <c r="M150" s="102"/>
      <c r="N150" s="73"/>
      <c r="O150" s="92"/>
      <c r="P150" s="81"/>
      <c r="Q150" s="83"/>
      <c r="R150" s="84"/>
      <c r="S150" s="87"/>
      <c r="T150" s="87"/>
      <c r="U150" s="87"/>
      <c r="V150" s="87"/>
      <c r="W150" s="102"/>
      <c r="X150" s="457" t="s">
        <v>189</v>
      </c>
      <c r="Y150" s="452" t="s">
        <v>63</v>
      </c>
      <c r="Z150" s="453" t="s">
        <v>30</v>
      </c>
      <c r="AA150" s="453" t="s">
        <v>49</v>
      </c>
      <c r="AB150" s="542" t="s">
        <v>190</v>
      </c>
      <c r="AC150" s="454"/>
      <c r="AD150" s="672">
        <f t="shared" ref="AD150:AF151" si="36">AD151</f>
        <v>650</v>
      </c>
      <c r="AE150" s="634">
        <f t="shared" si="36"/>
        <v>74</v>
      </c>
      <c r="AF150" s="645">
        <f t="shared" si="36"/>
        <v>74</v>
      </c>
      <c r="AG150" s="180"/>
      <c r="AH150" s="180"/>
      <c r="AI150" s="147"/>
    </row>
    <row r="151" spans="1:35" ht="31.5" x14ac:dyDescent="0.25">
      <c r="A151" s="90"/>
      <c r="B151" s="78"/>
      <c r="C151" s="79"/>
      <c r="D151" s="79"/>
      <c r="E151" s="80"/>
      <c r="F151" s="79"/>
      <c r="G151" s="81"/>
      <c r="H151" s="102"/>
      <c r="I151" s="102"/>
      <c r="J151" s="102"/>
      <c r="K151" s="102"/>
      <c r="L151" s="73"/>
      <c r="M151" s="102"/>
      <c r="N151" s="73"/>
      <c r="O151" s="92"/>
      <c r="P151" s="81"/>
      <c r="Q151" s="83"/>
      <c r="R151" s="84"/>
      <c r="S151" s="87"/>
      <c r="T151" s="87"/>
      <c r="U151" s="87"/>
      <c r="V151" s="87"/>
      <c r="W151" s="102"/>
      <c r="X151" s="457" t="s">
        <v>191</v>
      </c>
      <c r="Y151" s="452" t="s">
        <v>63</v>
      </c>
      <c r="Z151" s="453" t="s">
        <v>30</v>
      </c>
      <c r="AA151" s="453" t="s">
        <v>49</v>
      </c>
      <c r="AB151" s="542" t="s">
        <v>192</v>
      </c>
      <c r="AC151" s="454"/>
      <c r="AD151" s="672">
        <f t="shared" si="36"/>
        <v>650</v>
      </c>
      <c r="AE151" s="634">
        <f t="shared" si="36"/>
        <v>74</v>
      </c>
      <c r="AF151" s="645">
        <f t="shared" si="36"/>
        <v>74</v>
      </c>
      <c r="AG151" s="180"/>
      <c r="AH151" s="180"/>
      <c r="AI151" s="147"/>
    </row>
    <row r="152" spans="1:35" x14ac:dyDescent="0.25">
      <c r="A152" s="89"/>
      <c r="B152" s="78"/>
      <c r="C152" s="79"/>
      <c r="D152" s="79"/>
      <c r="E152" s="80"/>
      <c r="F152" s="72"/>
      <c r="G152" s="81"/>
      <c r="H152" s="81"/>
      <c r="I152" s="81"/>
      <c r="J152" s="81"/>
      <c r="K152" s="81"/>
      <c r="L152" s="73"/>
      <c r="M152" s="81"/>
      <c r="N152" s="73"/>
      <c r="O152" s="82"/>
      <c r="P152" s="81"/>
      <c r="Q152" s="83"/>
      <c r="R152" s="87"/>
      <c r="S152" s="87"/>
      <c r="T152" s="87"/>
      <c r="U152" s="87"/>
      <c r="V152" s="87"/>
      <c r="W152" s="87"/>
      <c r="X152" s="465" t="s">
        <v>221</v>
      </c>
      <c r="Y152" s="452" t="s">
        <v>63</v>
      </c>
      <c r="Z152" s="453" t="s">
        <v>30</v>
      </c>
      <c r="AA152" s="453" t="s">
        <v>49</v>
      </c>
      <c r="AB152" s="544" t="s">
        <v>222</v>
      </c>
      <c r="AC152" s="476"/>
      <c r="AD152" s="672">
        <f t="shared" si="35"/>
        <v>650</v>
      </c>
      <c r="AE152" s="634">
        <f t="shared" si="35"/>
        <v>74</v>
      </c>
      <c r="AF152" s="645">
        <f t="shared" si="35"/>
        <v>74</v>
      </c>
      <c r="AG152" s="180"/>
      <c r="AH152" s="180"/>
      <c r="AI152" s="147"/>
    </row>
    <row r="153" spans="1:35" x14ac:dyDescent="0.25">
      <c r="A153" s="89"/>
      <c r="B153" s="78"/>
      <c r="C153" s="79"/>
      <c r="D153" s="79"/>
      <c r="E153" s="80"/>
      <c r="F153" s="72"/>
      <c r="G153" s="81"/>
      <c r="H153" s="81"/>
      <c r="I153" s="81"/>
      <c r="J153" s="81"/>
      <c r="K153" s="81"/>
      <c r="L153" s="73"/>
      <c r="M153" s="81"/>
      <c r="N153" s="73"/>
      <c r="O153" s="82"/>
      <c r="P153" s="81"/>
      <c r="Q153" s="83"/>
      <c r="R153" s="87"/>
      <c r="S153" s="87"/>
      <c r="T153" s="87"/>
      <c r="U153" s="87"/>
      <c r="V153" s="87"/>
      <c r="W153" s="87"/>
      <c r="X153" s="451" t="s">
        <v>120</v>
      </c>
      <c r="Y153" s="452" t="s">
        <v>63</v>
      </c>
      <c r="Z153" s="453" t="s">
        <v>30</v>
      </c>
      <c r="AA153" s="453" t="s">
        <v>49</v>
      </c>
      <c r="AB153" s="544" t="s">
        <v>222</v>
      </c>
      <c r="AC153" s="570">
        <v>200</v>
      </c>
      <c r="AD153" s="672">
        <f t="shared" si="35"/>
        <v>650</v>
      </c>
      <c r="AE153" s="634">
        <f t="shared" si="35"/>
        <v>74</v>
      </c>
      <c r="AF153" s="645">
        <f t="shared" si="35"/>
        <v>74</v>
      </c>
      <c r="AG153" s="180"/>
      <c r="AH153" s="180"/>
      <c r="AI153" s="147"/>
    </row>
    <row r="154" spans="1:35" ht="31.5" x14ac:dyDescent="0.25">
      <c r="A154" s="89"/>
      <c r="B154" s="78"/>
      <c r="C154" s="79"/>
      <c r="D154" s="79"/>
      <c r="E154" s="80"/>
      <c r="F154" s="72"/>
      <c r="G154" s="81"/>
      <c r="H154" s="81"/>
      <c r="I154" s="81"/>
      <c r="J154" s="81"/>
      <c r="K154" s="81"/>
      <c r="L154" s="73"/>
      <c r="M154" s="81"/>
      <c r="N154" s="73"/>
      <c r="O154" s="82"/>
      <c r="P154" s="81"/>
      <c r="Q154" s="83"/>
      <c r="R154" s="87"/>
      <c r="S154" s="87"/>
      <c r="T154" s="87"/>
      <c r="U154" s="87"/>
      <c r="V154" s="87"/>
      <c r="W154" s="87"/>
      <c r="X154" s="451" t="s">
        <v>52</v>
      </c>
      <c r="Y154" s="452" t="s">
        <v>63</v>
      </c>
      <c r="Z154" s="453" t="s">
        <v>30</v>
      </c>
      <c r="AA154" s="453" t="s">
        <v>49</v>
      </c>
      <c r="AB154" s="544" t="s">
        <v>222</v>
      </c>
      <c r="AC154" s="570">
        <v>240</v>
      </c>
      <c r="AD154" s="672">
        <v>650</v>
      </c>
      <c r="AE154" s="634">
        <v>74</v>
      </c>
      <c r="AF154" s="645">
        <v>74</v>
      </c>
      <c r="AG154" s="180"/>
      <c r="AH154" s="180"/>
      <c r="AI154" s="147"/>
    </row>
    <row r="155" spans="1:35" s="77" customFormat="1" x14ac:dyDescent="0.25">
      <c r="A155" s="68"/>
      <c r="B155" s="69"/>
      <c r="C155" s="71"/>
      <c r="D155" s="71"/>
      <c r="E155" s="72"/>
      <c r="F155" s="72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5"/>
      <c r="R155" s="95"/>
      <c r="S155" s="95"/>
      <c r="T155" s="95"/>
      <c r="U155" s="95"/>
      <c r="V155" s="95"/>
      <c r="W155" s="95"/>
      <c r="X155" s="653" t="s">
        <v>46</v>
      </c>
      <c r="Y155" s="448" t="s">
        <v>63</v>
      </c>
      <c r="Z155" s="471" t="s">
        <v>7</v>
      </c>
      <c r="AA155" s="471"/>
      <c r="AB155" s="539"/>
      <c r="AC155" s="476"/>
      <c r="AD155" s="671">
        <f>AD156+AD171+AD209</f>
        <v>51899</v>
      </c>
      <c r="AE155" s="633">
        <f>AE156+AE171+AE209</f>
        <v>24976.799999999999</v>
      </c>
      <c r="AF155" s="644">
        <f>AF156+AF171+AF209</f>
        <v>22943.199999999997</v>
      </c>
      <c r="AG155" s="205"/>
      <c r="AH155" s="205"/>
      <c r="AI155" s="147"/>
    </row>
    <row r="156" spans="1:35" s="103" customFormat="1" x14ac:dyDescent="0.25">
      <c r="A156" s="93"/>
      <c r="B156" s="78"/>
      <c r="C156" s="79"/>
      <c r="D156" s="79"/>
      <c r="E156" s="80"/>
      <c r="F156" s="80"/>
      <c r="G156" s="81"/>
      <c r="H156" s="81"/>
      <c r="I156" s="81"/>
      <c r="J156" s="81"/>
      <c r="K156" s="81"/>
      <c r="L156" s="73"/>
      <c r="M156" s="81"/>
      <c r="N156" s="73"/>
      <c r="O156" s="81"/>
      <c r="P156" s="81"/>
      <c r="Q156" s="83"/>
      <c r="R156" s="87"/>
      <c r="S156" s="87"/>
      <c r="T156" s="87"/>
      <c r="U156" s="87"/>
      <c r="V156" s="87"/>
      <c r="W156" s="87"/>
      <c r="X156" s="451" t="s">
        <v>365</v>
      </c>
      <c r="Y156" s="452" t="s">
        <v>63</v>
      </c>
      <c r="Z156" s="453" t="s">
        <v>7</v>
      </c>
      <c r="AA156" s="453" t="s">
        <v>22</v>
      </c>
      <c r="AB156" s="541"/>
      <c r="AC156" s="482"/>
      <c r="AD156" s="672">
        <f t="shared" ref="AD156:AF157" si="37">AD157</f>
        <v>1278.4000000000001</v>
      </c>
      <c r="AE156" s="634">
        <f t="shared" si="37"/>
        <v>1177</v>
      </c>
      <c r="AF156" s="645">
        <f t="shared" si="37"/>
        <v>1177</v>
      </c>
      <c r="AG156" s="180"/>
      <c r="AH156" s="180"/>
      <c r="AI156" s="147"/>
    </row>
    <row r="157" spans="1:35" s="103" customFormat="1" ht="31.5" x14ac:dyDescent="0.25">
      <c r="A157" s="93"/>
      <c r="B157" s="78"/>
      <c r="C157" s="79"/>
      <c r="D157" s="79"/>
      <c r="E157" s="80"/>
      <c r="F157" s="80"/>
      <c r="G157" s="81"/>
      <c r="H157" s="81"/>
      <c r="I157" s="81"/>
      <c r="J157" s="81"/>
      <c r="K157" s="81"/>
      <c r="L157" s="73"/>
      <c r="M157" s="81"/>
      <c r="N157" s="73"/>
      <c r="O157" s="81"/>
      <c r="P157" s="81"/>
      <c r="Q157" s="83"/>
      <c r="R157" s="87"/>
      <c r="S157" s="87"/>
      <c r="T157" s="87"/>
      <c r="U157" s="87"/>
      <c r="V157" s="87"/>
      <c r="W157" s="87"/>
      <c r="X157" s="457" t="s">
        <v>161</v>
      </c>
      <c r="Y157" s="452" t="s">
        <v>63</v>
      </c>
      <c r="Z157" s="453" t="s">
        <v>7</v>
      </c>
      <c r="AA157" s="453" t="s">
        <v>22</v>
      </c>
      <c r="AB157" s="541" t="s">
        <v>102</v>
      </c>
      <c r="AC157" s="482"/>
      <c r="AD157" s="672">
        <f t="shared" si="37"/>
        <v>1278.4000000000001</v>
      </c>
      <c r="AE157" s="634">
        <f t="shared" si="37"/>
        <v>1177</v>
      </c>
      <c r="AF157" s="645">
        <f t="shared" si="37"/>
        <v>1177</v>
      </c>
      <c r="AG157" s="180"/>
      <c r="AH157" s="180"/>
      <c r="AI157" s="147"/>
    </row>
    <row r="158" spans="1:35" s="103" customFormat="1" ht="31.5" x14ac:dyDescent="0.25">
      <c r="A158" s="93"/>
      <c r="B158" s="78"/>
      <c r="C158" s="79"/>
      <c r="D158" s="79"/>
      <c r="E158" s="80"/>
      <c r="F158" s="80"/>
      <c r="G158" s="81"/>
      <c r="H158" s="81"/>
      <c r="I158" s="81"/>
      <c r="J158" s="81"/>
      <c r="K158" s="81"/>
      <c r="L158" s="73"/>
      <c r="M158" s="81"/>
      <c r="N158" s="73"/>
      <c r="O158" s="81"/>
      <c r="P158" s="81"/>
      <c r="Q158" s="83"/>
      <c r="R158" s="87"/>
      <c r="S158" s="87"/>
      <c r="T158" s="87"/>
      <c r="U158" s="87"/>
      <c r="V158" s="87"/>
      <c r="W158" s="87"/>
      <c r="X158" s="457" t="s">
        <v>583</v>
      </c>
      <c r="Y158" s="452" t="s">
        <v>63</v>
      </c>
      <c r="Z158" s="453" t="s">
        <v>7</v>
      </c>
      <c r="AA158" s="453" t="s">
        <v>22</v>
      </c>
      <c r="AB158" s="542" t="s">
        <v>103</v>
      </c>
      <c r="AC158" s="482"/>
      <c r="AD158" s="672">
        <f>AD159+AD167</f>
        <v>1278.4000000000001</v>
      </c>
      <c r="AE158" s="634">
        <f>AE159+AE167</f>
        <v>1177</v>
      </c>
      <c r="AF158" s="645">
        <f>AF159+AF167</f>
        <v>1177</v>
      </c>
      <c r="AG158" s="180"/>
      <c r="AH158" s="180"/>
      <c r="AI158" s="147"/>
    </row>
    <row r="159" spans="1:35" s="103" customFormat="1" ht="78.75" x14ac:dyDescent="0.25">
      <c r="A159" s="93"/>
      <c r="B159" s="78"/>
      <c r="C159" s="79"/>
      <c r="D159" s="79"/>
      <c r="E159" s="80"/>
      <c r="F159" s="80"/>
      <c r="G159" s="81"/>
      <c r="H159" s="81"/>
      <c r="I159" s="81"/>
      <c r="J159" s="81"/>
      <c r="K159" s="81"/>
      <c r="L159" s="73"/>
      <c r="M159" s="81"/>
      <c r="N159" s="73"/>
      <c r="O159" s="81"/>
      <c r="P159" s="81"/>
      <c r="Q159" s="83"/>
      <c r="R159" s="87"/>
      <c r="S159" s="87"/>
      <c r="T159" s="87"/>
      <c r="U159" s="87"/>
      <c r="V159" s="87"/>
      <c r="W159" s="87"/>
      <c r="X159" s="466" t="s">
        <v>585</v>
      </c>
      <c r="Y159" s="452" t="s">
        <v>63</v>
      </c>
      <c r="Z159" s="453" t="s">
        <v>7</v>
      </c>
      <c r="AA159" s="453" t="s">
        <v>22</v>
      </c>
      <c r="AB159" s="542" t="s">
        <v>124</v>
      </c>
      <c r="AC159" s="482"/>
      <c r="AD159" s="672">
        <f>AD160+AD163</f>
        <v>828.4</v>
      </c>
      <c r="AE159" s="634">
        <f>AE160+AE163</f>
        <v>727</v>
      </c>
      <c r="AF159" s="645">
        <f>AF160+AF163</f>
        <v>727</v>
      </c>
      <c r="AG159" s="180"/>
      <c r="AH159" s="180"/>
      <c r="AI159" s="147"/>
    </row>
    <row r="160" spans="1:35" s="103" customFormat="1" ht="31.5" x14ac:dyDescent="0.25">
      <c r="A160" s="93"/>
      <c r="B160" s="78"/>
      <c r="C160" s="79"/>
      <c r="D160" s="79"/>
      <c r="E160" s="80"/>
      <c r="F160" s="80"/>
      <c r="G160" s="81"/>
      <c r="H160" s="81"/>
      <c r="I160" s="81"/>
      <c r="J160" s="81"/>
      <c r="K160" s="81"/>
      <c r="L160" s="73"/>
      <c r="M160" s="81"/>
      <c r="N160" s="73"/>
      <c r="O160" s="81"/>
      <c r="P160" s="81"/>
      <c r="Q160" s="83"/>
      <c r="R160" s="87"/>
      <c r="S160" s="87"/>
      <c r="T160" s="87"/>
      <c r="U160" s="87"/>
      <c r="V160" s="87"/>
      <c r="W160" s="87"/>
      <c r="X160" s="466" t="s">
        <v>174</v>
      </c>
      <c r="Y160" s="452" t="s">
        <v>63</v>
      </c>
      <c r="Z160" s="453" t="s">
        <v>7</v>
      </c>
      <c r="AA160" s="453" t="s">
        <v>22</v>
      </c>
      <c r="AB160" s="542" t="s">
        <v>175</v>
      </c>
      <c r="AC160" s="482"/>
      <c r="AD160" s="672">
        <f t="shared" ref="AD160:AF161" si="38">AD161</f>
        <v>728.4</v>
      </c>
      <c r="AE160" s="634">
        <f t="shared" si="38"/>
        <v>727</v>
      </c>
      <c r="AF160" s="645">
        <f t="shared" si="38"/>
        <v>727</v>
      </c>
      <c r="AG160" s="180"/>
      <c r="AH160" s="180"/>
      <c r="AI160" s="147"/>
    </row>
    <row r="161" spans="1:35" s="103" customFormat="1" x14ac:dyDescent="0.25">
      <c r="A161" s="93"/>
      <c r="B161" s="78"/>
      <c r="C161" s="79"/>
      <c r="D161" s="79"/>
      <c r="E161" s="80"/>
      <c r="F161" s="80"/>
      <c r="G161" s="81"/>
      <c r="H161" s="81"/>
      <c r="I161" s="81"/>
      <c r="J161" s="81"/>
      <c r="K161" s="81"/>
      <c r="L161" s="73"/>
      <c r="M161" s="81"/>
      <c r="N161" s="73"/>
      <c r="O161" s="81"/>
      <c r="P161" s="81"/>
      <c r="Q161" s="83"/>
      <c r="R161" s="87"/>
      <c r="S161" s="87"/>
      <c r="T161" s="87"/>
      <c r="U161" s="87"/>
      <c r="V161" s="87"/>
      <c r="W161" s="87"/>
      <c r="X161" s="451" t="s">
        <v>120</v>
      </c>
      <c r="Y161" s="452" t="s">
        <v>63</v>
      </c>
      <c r="Z161" s="453" t="s">
        <v>7</v>
      </c>
      <c r="AA161" s="453" t="s">
        <v>22</v>
      </c>
      <c r="AB161" s="542" t="s">
        <v>175</v>
      </c>
      <c r="AC161" s="482">
        <v>200</v>
      </c>
      <c r="AD161" s="672">
        <f t="shared" si="38"/>
        <v>728.4</v>
      </c>
      <c r="AE161" s="634">
        <f t="shared" si="38"/>
        <v>727</v>
      </c>
      <c r="AF161" s="645">
        <f t="shared" si="38"/>
        <v>727</v>
      </c>
      <c r="AG161" s="180"/>
      <c r="AH161" s="180"/>
      <c r="AI161" s="147"/>
    </row>
    <row r="162" spans="1:35" s="103" customFormat="1" ht="31.5" x14ac:dyDescent="0.25">
      <c r="A162" s="93"/>
      <c r="B162" s="78"/>
      <c r="C162" s="79"/>
      <c r="D162" s="79"/>
      <c r="E162" s="80"/>
      <c r="F162" s="80"/>
      <c r="G162" s="81"/>
      <c r="H162" s="81"/>
      <c r="I162" s="81"/>
      <c r="J162" s="81"/>
      <c r="K162" s="81"/>
      <c r="L162" s="73"/>
      <c r="M162" s="81"/>
      <c r="N162" s="73"/>
      <c r="O162" s="81"/>
      <c r="P162" s="81"/>
      <c r="Q162" s="83"/>
      <c r="R162" s="87"/>
      <c r="S162" s="87"/>
      <c r="T162" s="87"/>
      <c r="U162" s="87"/>
      <c r="V162" s="87"/>
      <c r="W162" s="87"/>
      <c r="X162" s="451" t="s">
        <v>52</v>
      </c>
      <c r="Y162" s="452" t="s">
        <v>63</v>
      </c>
      <c r="Z162" s="453" t="s">
        <v>7</v>
      </c>
      <c r="AA162" s="453" t="s">
        <v>22</v>
      </c>
      <c r="AB162" s="542" t="s">
        <v>175</v>
      </c>
      <c r="AC162" s="482">
        <v>240</v>
      </c>
      <c r="AD162" s="672">
        <f>727+1.4</f>
        <v>728.4</v>
      </c>
      <c r="AE162" s="634">
        <v>727</v>
      </c>
      <c r="AF162" s="645">
        <v>727</v>
      </c>
      <c r="AG162" s="180"/>
      <c r="AH162" s="180"/>
      <c r="AI162" s="147"/>
    </row>
    <row r="163" spans="1:35" s="500" customFormat="1" ht="47.25" x14ac:dyDescent="0.25">
      <c r="A163" s="93"/>
      <c r="B163" s="493"/>
      <c r="C163" s="494"/>
      <c r="D163" s="494"/>
      <c r="E163" s="495"/>
      <c r="F163" s="495"/>
      <c r="G163" s="496"/>
      <c r="H163" s="496"/>
      <c r="I163" s="496"/>
      <c r="J163" s="496"/>
      <c r="K163" s="496"/>
      <c r="L163" s="492"/>
      <c r="M163" s="496"/>
      <c r="N163" s="492"/>
      <c r="O163" s="496"/>
      <c r="P163" s="496"/>
      <c r="Q163" s="497"/>
      <c r="R163" s="498"/>
      <c r="S163" s="498"/>
      <c r="T163" s="498"/>
      <c r="U163" s="498"/>
      <c r="V163" s="498"/>
      <c r="W163" s="498"/>
      <c r="X163" s="451" t="s">
        <v>678</v>
      </c>
      <c r="Y163" s="452" t="s">
        <v>63</v>
      </c>
      <c r="Z163" s="453" t="s">
        <v>7</v>
      </c>
      <c r="AA163" s="453" t="s">
        <v>22</v>
      </c>
      <c r="AB163" s="542" t="s">
        <v>729</v>
      </c>
      <c r="AC163" s="482"/>
      <c r="AD163" s="672">
        <f>AD164</f>
        <v>100</v>
      </c>
      <c r="AE163" s="634">
        <f t="shared" ref="AE163:AF163" si="39">AE164</f>
        <v>0</v>
      </c>
      <c r="AF163" s="645">
        <f t="shared" si="39"/>
        <v>0</v>
      </c>
      <c r="AG163" s="506"/>
      <c r="AH163" s="506"/>
      <c r="AI163" s="502"/>
    </row>
    <row r="164" spans="1:35" s="500" customFormat="1" ht="31.5" x14ac:dyDescent="0.25">
      <c r="A164" s="93"/>
      <c r="B164" s="493"/>
      <c r="C164" s="494"/>
      <c r="D164" s="494"/>
      <c r="E164" s="495"/>
      <c r="F164" s="495"/>
      <c r="G164" s="496"/>
      <c r="H164" s="496"/>
      <c r="I164" s="496"/>
      <c r="J164" s="496"/>
      <c r="K164" s="496"/>
      <c r="L164" s="492"/>
      <c r="M164" s="496"/>
      <c r="N164" s="492"/>
      <c r="O164" s="496"/>
      <c r="P164" s="496"/>
      <c r="Q164" s="497"/>
      <c r="R164" s="498"/>
      <c r="S164" s="498"/>
      <c r="T164" s="498"/>
      <c r="U164" s="498"/>
      <c r="V164" s="498"/>
      <c r="W164" s="498"/>
      <c r="X164" s="451" t="s">
        <v>679</v>
      </c>
      <c r="Y164" s="452" t="s">
        <v>63</v>
      </c>
      <c r="Z164" s="453" t="s">
        <v>7</v>
      </c>
      <c r="AA164" s="453" t="s">
        <v>22</v>
      </c>
      <c r="AB164" s="542" t="s">
        <v>680</v>
      </c>
      <c r="AC164" s="482"/>
      <c r="AD164" s="672">
        <f>AD165</f>
        <v>100</v>
      </c>
      <c r="AE164" s="634">
        <f t="shared" ref="AE164:AF164" si="40">AE165</f>
        <v>0</v>
      </c>
      <c r="AF164" s="645">
        <f t="shared" si="40"/>
        <v>0</v>
      </c>
      <c r="AG164" s="506"/>
      <c r="AH164" s="506"/>
      <c r="AI164" s="502"/>
    </row>
    <row r="165" spans="1:35" s="500" customFormat="1" x14ac:dyDescent="0.25">
      <c r="A165" s="93"/>
      <c r="B165" s="493"/>
      <c r="C165" s="494"/>
      <c r="D165" s="494"/>
      <c r="E165" s="495"/>
      <c r="F165" s="495"/>
      <c r="G165" s="496"/>
      <c r="H165" s="496"/>
      <c r="I165" s="496"/>
      <c r="J165" s="496"/>
      <c r="K165" s="496"/>
      <c r="L165" s="492"/>
      <c r="M165" s="496"/>
      <c r="N165" s="492"/>
      <c r="O165" s="496"/>
      <c r="P165" s="496"/>
      <c r="Q165" s="497"/>
      <c r="R165" s="498"/>
      <c r="S165" s="498"/>
      <c r="T165" s="498"/>
      <c r="U165" s="498"/>
      <c r="V165" s="498"/>
      <c r="W165" s="498"/>
      <c r="X165" s="451" t="s">
        <v>120</v>
      </c>
      <c r="Y165" s="452" t="s">
        <v>63</v>
      </c>
      <c r="Z165" s="453" t="s">
        <v>7</v>
      </c>
      <c r="AA165" s="453" t="s">
        <v>22</v>
      </c>
      <c r="AB165" s="542" t="s">
        <v>680</v>
      </c>
      <c r="AC165" s="482">
        <v>200</v>
      </c>
      <c r="AD165" s="672">
        <f>AD166</f>
        <v>100</v>
      </c>
      <c r="AE165" s="634">
        <f t="shared" ref="AE165:AF165" si="41">AE166</f>
        <v>0</v>
      </c>
      <c r="AF165" s="645">
        <f t="shared" si="41"/>
        <v>0</v>
      </c>
      <c r="AG165" s="506"/>
      <c r="AH165" s="506"/>
      <c r="AI165" s="502"/>
    </row>
    <row r="166" spans="1:35" s="500" customFormat="1" ht="31.5" x14ac:dyDescent="0.25">
      <c r="A166" s="93"/>
      <c r="B166" s="493"/>
      <c r="C166" s="494"/>
      <c r="D166" s="494"/>
      <c r="E166" s="495"/>
      <c r="F166" s="495"/>
      <c r="G166" s="496"/>
      <c r="H166" s="496"/>
      <c r="I166" s="496"/>
      <c r="J166" s="496"/>
      <c r="K166" s="496"/>
      <c r="L166" s="492"/>
      <c r="M166" s="496"/>
      <c r="N166" s="492"/>
      <c r="O166" s="496"/>
      <c r="P166" s="496"/>
      <c r="Q166" s="497"/>
      <c r="R166" s="498"/>
      <c r="S166" s="498"/>
      <c r="T166" s="498"/>
      <c r="U166" s="498"/>
      <c r="V166" s="498"/>
      <c r="W166" s="498"/>
      <c r="X166" s="451" t="s">
        <v>52</v>
      </c>
      <c r="Y166" s="452" t="s">
        <v>63</v>
      </c>
      <c r="Z166" s="453" t="s">
        <v>7</v>
      </c>
      <c r="AA166" s="453" t="s">
        <v>22</v>
      </c>
      <c r="AB166" s="542" t="s">
        <v>680</v>
      </c>
      <c r="AC166" s="482">
        <v>240</v>
      </c>
      <c r="AD166" s="672">
        <v>100</v>
      </c>
      <c r="AE166" s="634">
        <v>0</v>
      </c>
      <c r="AF166" s="645">
        <v>0</v>
      </c>
      <c r="AG166" s="506"/>
      <c r="AH166" s="506"/>
      <c r="AI166" s="502"/>
    </row>
    <row r="167" spans="1:35" s="103" customFormat="1" ht="47.25" x14ac:dyDescent="0.25">
      <c r="A167" s="93"/>
      <c r="B167" s="78"/>
      <c r="C167" s="79"/>
      <c r="D167" s="79"/>
      <c r="E167" s="80"/>
      <c r="F167" s="80"/>
      <c r="G167" s="81"/>
      <c r="H167" s="81"/>
      <c r="I167" s="81"/>
      <c r="J167" s="81"/>
      <c r="K167" s="81"/>
      <c r="L167" s="73"/>
      <c r="M167" s="81"/>
      <c r="N167" s="73"/>
      <c r="O167" s="81"/>
      <c r="P167" s="81"/>
      <c r="Q167" s="83"/>
      <c r="R167" s="87"/>
      <c r="S167" s="87"/>
      <c r="T167" s="87"/>
      <c r="U167" s="87"/>
      <c r="V167" s="87"/>
      <c r="W167" s="87"/>
      <c r="X167" s="466" t="s">
        <v>559</v>
      </c>
      <c r="Y167" s="452" t="s">
        <v>63</v>
      </c>
      <c r="Z167" s="453" t="s">
        <v>7</v>
      </c>
      <c r="AA167" s="453" t="s">
        <v>22</v>
      </c>
      <c r="AB167" s="542" t="s">
        <v>558</v>
      </c>
      <c r="AC167" s="473"/>
      <c r="AD167" s="672">
        <f>AD168</f>
        <v>450</v>
      </c>
      <c r="AE167" s="634">
        <f>AE168</f>
        <v>450</v>
      </c>
      <c r="AF167" s="645">
        <f>AF168</f>
        <v>450</v>
      </c>
      <c r="AG167" s="180"/>
      <c r="AH167" s="180"/>
      <c r="AI167" s="147"/>
    </row>
    <row r="168" spans="1:35" s="103" customFormat="1" ht="31.5" x14ac:dyDescent="0.25">
      <c r="A168" s="93"/>
      <c r="B168" s="78"/>
      <c r="C168" s="79"/>
      <c r="D168" s="79"/>
      <c r="E168" s="80"/>
      <c r="F168" s="80"/>
      <c r="G168" s="81"/>
      <c r="H168" s="81"/>
      <c r="I168" s="81"/>
      <c r="J168" s="81"/>
      <c r="K168" s="81"/>
      <c r="L168" s="73"/>
      <c r="M168" s="81"/>
      <c r="N168" s="73"/>
      <c r="O168" s="81"/>
      <c r="P168" s="81"/>
      <c r="Q168" s="83"/>
      <c r="R168" s="87"/>
      <c r="S168" s="87"/>
      <c r="T168" s="87"/>
      <c r="U168" s="87"/>
      <c r="V168" s="87"/>
      <c r="W168" s="87"/>
      <c r="X168" s="465" t="s">
        <v>560</v>
      </c>
      <c r="Y168" s="452" t="s">
        <v>63</v>
      </c>
      <c r="Z168" s="453" t="s">
        <v>7</v>
      </c>
      <c r="AA168" s="453" t="s">
        <v>22</v>
      </c>
      <c r="AB168" s="542" t="s">
        <v>561</v>
      </c>
      <c r="AC168" s="473"/>
      <c r="AD168" s="672">
        <f t="shared" ref="AD168:AF169" si="42">AD169</f>
        <v>450</v>
      </c>
      <c r="AE168" s="634">
        <f t="shared" si="42"/>
        <v>450</v>
      </c>
      <c r="AF168" s="645">
        <f t="shared" si="42"/>
        <v>450</v>
      </c>
      <c r="AG168" s="180"/>
      <c r="AH168" s="180"/>
      <c r="AI168" s="147"/>
    </row>
    <row r="169" spans="1:35" s="103" customFormat="1" x14ac:dyDescent="0.25">
      <c r="A169" s="93"/>
      <c r="B169" s="78"/>
      <c r="C169" s="79"/>
      <c r="D169" s="79"/>
      <c r="E169" s="80"/>
      <c r="F169" s="80"/>
      <c r="G169" s="81"/>
      <c r="H169" s="81"/>
      <c r="I169" s="81"/>
      <c r="J169" s="81"/>
      <c r="K169" s="81"/>
      <c r="L169" s="73"/>
      <c r="M169" s="81"/>
      <c r="N169" s="73"/>
      <c r="O169" s="81"/>
      <c r="P169" s="81"/>
      <c r="Q169" s="83"/>
      <c r="R169" s="87"/>
      <c r="S169" s="87"/>
      <c r="T169" s="87"/>
      <c r="U169" s="87"/>
      <c r="V169" s="87"/>
      <c r="W169" s="87"/>
      <c r="X169" s="451" t="s">
        <v>120</v>
      </c>
      <c r="Y169" s="452" t="s">
        <v>63</v>
      </c>
      <c r="Z169" s="453" t="s">
        <v>7</v>
      </c>
      <c r="AA169" s="453" t="s">
        <v>22</v>
      </c>
      <c r="AB169" s="542" t="s">
        <v>561</v>
      </c>
      <c r="AC169" s="473" t="s">
        <v>37</v>
      </c>
      <c r="AD169" s="672">
        <f t="shared" si="42"/>
        <v>450</v>
      </c>
      <c r="AE169" s="634">
        <f t="shared" si="42"/>
        <v>450</v>
      </c>
      <c r="AF169" s="645">
        <f t="shared" si="42"/>
        <v>450</v>
      </c>
      <c r="AG169" s="180"/>
      <c r="AH169" s="180"/>
      <c r="AI169" s="147"/>
    </row>
    <row r="170" spans="1:35" s="103" customFormat="1" ht="31.5" x14ac:dyDescent="0.25">
      <c r="A170" s="93"/>
      <c r="B170" s="78"/>
      <c r="C170" s="79"/>
      <c r="D170" s="79"/>
      <c r="E170" s="80"/>
      <c r="F170" s="80"/>
      <c r="G170" s="81"/>
      <c r="H170" s="81"/>
      <c r="I170" s="81"/>
      <c r="J170" s="81"/>
      <c r="K170" s="81"/>
      <c r="L170" s="73"/>
      <c r="M170" s="81"/>
      <c r="N170" s="73"/>
      <c r="O170" s="81"/>
      <c r="P170" s="81"/>
      <c r="Q170" s="83"/>
      <c r="R170" s="87"/>
      <c r="S170" s="87"/>
      <c r="T170" s="87"/>
      <c r="U170" s="87"/>
      <c r="V170" s="87"/>
      <c r="W170" s="87"/>
      <c r="X170" s="451" t="s">
        <v>52</v>
      </c>
      <c r="Y170" s="452" t="s">
        <v>63</v>
      </c>
      <c r="Z170" s="453" t="s">
        <v>7</v>
      </c>
      <c r="AA170" s="453" t="s">
        <v>22</v>
      </c>
      <c r="AB170" s="542" t="s">
        <v>561</v>
      </c>
      <c r="AC170" s="473" t="s">
        <v>65</v>
      </c>
      <c r="AD170" s="672">
        <f>450+100-100</f>
        <v>450</v>
      </c>
      <c r="AE170" s="634">
        <v>450</v>
      </c>
      <c r="AF170" s="645">
        <v>450</v>
      </c>
      <c r="AG170" s="180"/>
      <c r="AH170" s="180"/>
      <c r="AI170" s="147"/>
    </row>
    <row r="171" spans="1:35" s="103" customFormat="1" ht="31.5" x14ac:dyDescent="0.25">
      <c r="A171" s="93"/>
      <c r="B171" s="78"/>
      <c r="C171" s="79"/>
      <c r="D171" s="79"/>
      <c r="E171" s="80"/>
      <c r="F171" s="80"/>
      <c r="G171" s="81"/>
      <c r="H171" s="81"/>
      <c r="I171" s="81"/>
      <c r="J171" s="81"/>
      <c r="K171" s="81"/>
      <c r="L171" s="73"/>
      <c r="M171" s="81"/>
      <c r="N171" s="73"/>
      <c r="O171" s="81"/>
      <c r="P171" s="81"/>
      <c r="Q171" s="83"/>
      <c r="R171" s="87"/>
      <c r="S171" s="87"/>
      <c r="T171" s="87"/>
      <c r="U171" s="87"/>
      <c r="V171" s="87"/>
      <c r="W171" s="87"/>
      <c r="X171" s="451" t="s">
        <v>366</v>
      </c>
      <c r="Y171" s="452" t="s">
        <v>63</v>
      </c>
      <c r="Z171" s="453" t="s">
        <v>7</v>
      </c>
      <c r="AA171" s="453" t="s">
        <v>36</v>
      </c>
      <c r="AB171" s="541"/>
      <c r="AC171" s="482"/>
      <c r="AD171" s="672">
        <f>AD172+AD203</f>
        <v>29276.799999999999</v>
      </c>
      <c r="AE171" s="672">
        <f t="shared" ref="AE171:AF171" si="43">AE172+AE203</f>
        <v>11681</v>
      </c>
      <c r="AF171" s="672">
        <f t="shared" si="43"/>
        <v>11717</v>
      </c>
      <c r="AG171" s="180"/>
      <c r="AH171" s="180"/>
      <c r="AI171" s="147"/>
    </row>
    <row r="172" spans="1:35" s="103" customFormat="1" ht="31.5" x14ac:dyDescent="0.25">
      <c r="A172" s="93"/>
      <c r="B172" s="78"/>
      <c r="C172" s="79"/>
      <c r="D172" s="79"/>
      <c r="E172" s="80"/>
      <c r="F172" s="80"/>
      <c r="G172" s="81"/>
      <c r="H172" s="81"/>
      <c r="I172" s="81"/>
      <c r="J172" s="81"/>
      <c r="K172" s="81"/>
      <c r="L172" s="73"/>
      <c r="M172" s="81"/>
      <c r="N172" s="73"/>
      <c r="O172" s="81"/>
      <c r="P172" s="81"/>
      <c r="Q172" s="83"/>
      <c r="R172" s="87"/>
      <c r="S172" s="87"/>
      <c r="T172" s="87"/>
      <c r="U172" s="87"/>
      <c r="V172" s="87"/>
      <c r="W172" s="87"/>
      <c r="X172" s="457" t="s">
        <v>161</v>
      </c>
      <c r="Y172" s="452" t="s">
        <v>63</v>
      </c>
      <c r="Z172" s="453" t="s">
        <v>7</v>
      </c>
      <c r="AA172" s="453" t="s">
        <v>36</v>
      </c>
      <c r="AB172" s="541" t="s">
        <v>102</v>
      </c>
      <c r="AC172" s="482"/>
      <c r="AD172" s="672">
        <f>AD173+AD182+AD196+AD189</f>
        <v>29266.799999999999</v>
      </c>
      <c r="AE172" s="634">
        <f>AE173+AE182+AE196+AE189</f>
        <v>11681</v>
      </c>
      <c r="AF172" s="645">
        <f>AF173+AF182+AF196+AF189</f>
        <v>11717</v>
      </c>
      <c r="AG172" s="180"/>
      <c r="AH172" s="180"/>
      <c r="AI172" s="147"/>
    </row>
    <row r="173" spans="1:35" s="103" customFormat="1" ht="31.5" x14ac:dyDescent="0.25">
      <c r="A173" s="47"/>
      <c r="B173" s="78"/>
      <c r="C173" s="79"/>
      <c r="D173" s="79"/>
      <c r="E173" s="80"/>
      <c r="F173" s="104"/>
      <c r="G173" s="81"/>
      <c r="H173" s="105"/>
      <c r="I173" s="49"/>
      <c r="J173" s="49"/>
      <c r="K173" s="49"/>
      <c r="L173" s="81"/>
      <c r="M173" s="49"/>
      <c r="N173" s="81"/>
      <c r="O173" s="82"/>
      <c r="P173" s="81"/>
      <c r="Q173" s="83"/>
      <c r="R173" s="87"/>
      <c r="S173" s="87"/>
      <c r="T173" s="87"/>
      <c r="U173" s="87"/>
      <c r="V173" s="87"/>
      <c r="W173" s="87"/>
      <c r="X173" s="457" t="s">
        <v>723</v>
      </c>
      <c r="Y173" s="452" t="s">
        <v>63</v>
      </c>
      <c r="Z173" s="453" t="s">
        <v>7</v>
      </c>
      <c r="AA173" s="453" t="s">
        <v>36</v>
      </c>
      <c r="AB173" s="542" t="s">
        <v>107</v>
      </c>
      <c r="AC173" s="473"/>
      <c r="AD173" s="672">
        <f>AD174+AD178</f>
        <v>467</v>
      </c>
      <c r="AE173" s="634">
        <f>AE174+AE178</f>
        <v>567</v>
      </c>
      <c r="AF173" s="645">
        <f>AF174+AF178</f>
        <v>567</v>
      </c>
      <c r="AG173" s="180"/>
      <c r="AH173" s="180"/>
      <c r="AI173" s="147"/>
    </row>
    <row r="174" spans="1:35" s="103" customFormat="1" ht="31.5" x14ac:dyDescent="0.25">
      <c r="A174" s="47"/>
      <c r="B174" s="78"/>
      <c r="C174" s="79"/>
      <c r="D174" s="79"/>
      <c r="E174" s="80"/>
      <c r="F174" s="104"/>
      <c r="G174" s="81"/>
      <c r="H174" s="105"/>
      <c r="I174" s="49"/>
      <c r="J174" s="49"/>
      <c r="K174" s="49"/>
      <c r="L174" s="81"/>
      <c r="M174" s="49"/>
      <c r="N174" s="81"/>
      <c r="O174" s="82"/>
      <c r="P174" s="81"/>
      <c r="Q174" s="83"/>
      <c r="R174" s="87"/>
      <c r="S174" s="87"/>
      <c r="T174" s="87"/>
      <c r="U174" s="87"/>
      <c r="V174" s="87"/>
      <c r="W174" s="87"/>
      <c r="X174" s="277" t="s">
        <v>724</v>
      </c>
      <c r="Y174" s="452" t="s">
        <v>63</v>
      </c>
      <c r="Z174" s="453" t="s">
        <v>7</v>
      </c>
      <c r="AA174" s="453" t="s">
        <v>36</v>
      </c>
      <c r="AB174" s="542" t="s">
        <v>171</v>
      </c>
      <c r="AC174" s="473"/>
      <c r="AD174" s="672">
        <f t="shared" ref="AD174:AF176" si="44">AD175</f>
        <v>340</v>
      </c>
      <c r="AE174" s="634">
        <f t="shared" si="44"/>
        <v>340</v>
      </c>
      <c r="AF174" s="645">
        <f t="shared" si="44"/>
        <v>340</v>
      </c>
      <c r="AG174" s="180"/>
      <c r="AH174" s="180"/>
      <c r="AI174" s="147"/>
    </row>
    <row r="175" spans="1:35" s="103" customFormat="1" ht="31.5" x14ac:dyDescent="0.25">
      <c r="A175" s="47"/>
      <c r="B175" s="78"/>
      <c r="C175" s="79"/>
      <c r="D175" s="79"/>
      <c r="E175" s="80"/>
      <c r="F175" s="104"/>
      <c r="G175" s="81"/>
      <c r="H175" s="105"/>
      <c r="I175" s="49"/>
      <c r="J175" s="49"/>
      <c r="K175" s="49"/>
      <c r="L175" s="81"/>
      <c r="M175" s="49"/>
      <c r="N175" s="81"/>
      <c r="O175" s="82"/>
      <c r="P175" s="81"/>
      <c r="Q175" s="83"/>
      <c r="R175" s="87"/>
      <c r="S175" s="87"/>
      <c r="T175" s="87"/>
      <c r="U175" s="87"/>
      <c r="V175" s="87"/>
      <c r="W175" s="87"/>
      <c r="X175" s="466" t="s">
        <v>754</v>
      </c>
      <c r="Y175" s="452" t="s">
        <v>63</v>
      </c>
      <c r="Z175" s="453" t="s">
        <v>7</v>
      </c>
      <c r="AA175" s="453" t="s">
        <v>36</v>
      </c>
      <c r="AB175" s="542" t="s">
        <v>555</v>
      </c>
      <c r="AC175" s="473"/>
      <c r="AD175" s="672">
        <f t="shared" si="44"/>
        <v>340</v>
      </c>
      <c r="AE175" s="634">
        <f t="shared" si="44"/>
        <v>340</v>
      </c>
      <c r="AF175" s="645">
        <f t="shared" si="44"/>
        <v>340</v>
      </c>
      <c r="AG175" s="180"/>
      <c r="AH175" s="180"/>
      <c r="AI175" s="147"/>
    </row>
    <row r="176" spans="1:35" s="103" customFormat="1" x14ac:dyDescent="0.25">
      <c r="A176" s="47"/>
      <c r="B176" s="78"/>
      <c r="C176" s="79"/>
      <c r="D176" s="79"/>
      <c r="E176" s="80"/>
      <c r="F176" s="104"/>
      <c r="G176" s="81"/>
      <c r="H176" s="105"/>
      <c r="I176" s="49"/>
      <c r="J176" s="49"/>
      <c r="K176" s="49"/>
      <c r="L176" s="81"/>
      <c r="M176" s="49"/>
      <c r="N176" s="81"/>
      <c r="O176" s="82"/>
      <c r="P176" s="81"/>
      <c r="Q176" s="83"/>
      <c r="R176" s="87"/>
      <c r="S176" s="87"/>
      <c r="T176" s="87"/>
      <c r="U176" s="87"/>
      <c r="V176" s="87"/>
      <c r="W176" s="87"/>
      <c r="X176" s="654" t="s">
        <v>120</v>
      </c>
      <c r="Y176" s="467" t="s">
        <v>63</v>
      </c>
      <c r="Z176" s="453" t="s">
        <v>7</v>
      </c>
      <c r="AA176" s="453" t="s">
        <v>36</v>
      </c>
      <c r="AB176" s="542" t="s">
        <v>555</v>
      </c>
      <c r="AC176" s="571" t="s">
        <v>37</v>
      </c>
      <c r="AD176" s="672">
        <f t="shared" si="44"/>
        <v>340</v>
      </c>
      <c r="AE176" s="634">
        <f t="shared" si="44"/>
        <v>340</v>
      </c>
      <c r="AF176" s="645">
        <f t="shared" si="44"/>
        <v>340</v>
      </c>
      <c r="AG176" s="180"/>
      <c r="AH176" s="180"/>
      <c r="AI176" s="147"/>
    </row>
    <row r="177" spans="1:35" s="103" customFormat="1" ht="31.5" x14ac:dyDescent="0.25">
      <c r="A177" s="47"/>
      <c r="B177" s="78"/>
      <c r="C177" s="79"/>
      <c r="D177" s="79"/>
      <c r="E177" s="80"/>
      <c r="F177" s="104"/>
      <c r="G177" s="81"/>
      <c r="H177" s="105"/>
      <c r="I177" s="49"/>
      <c r="J177" s="49"/>
      <c r="K177" s="49"/>
      <c r="L177" s="81"/>
      <c r="M177" s="49"/>
      <c r="N177" s="81"/>
      <c r="O177" s="82"/>
      <c r="P177" s="81"/>
      <c r="Q177" s="83"/>
      <c r="R177" s="87"/>
      <c r="S177" s="87"/>
      <c r="T177" s="87"/>
      <c r="U177" s="87"/>
      <c r="V177" s="87"/>
      <c r="W177" s="87"/>
      <c r="X177" s="654" t="s">
        <v>52</v>
      </c>
      <c r="Y177" s="467" t="s">
        <v>63</v>
      </c>
      <c r="Z177" s="453" t="s">
        <v>7</v>
      </c>
      <c r="AA177" s="453" t="s">
        <v>36</v>
      </c>
      <c r="AB177" s="542" t="s">
        <v>555</v>
      </c>
      <c r="AC177" s="571" t="s">
        <v>65</v>
      </c>
      <c r="AD177" s="672">
        <v>340</v>
      </c>
      <c r="AE177" s="634">
        <v>340</v>
      </c>
      <c r="AF177" s="645">
        <v>340</v>
      </c>
      <c r="AG177" s="180"/>
      <c r="AH177" s="180"/>
      <c r="AI177" s="147"/>
    </row>
    <row r="178" spans="1:35" s="305" customFormat="1" ht="47.25" x14ac:dyDescent="0.25">
      <c r="A178" s="292"/>
      <c r="B178" s="293"/>
      <c r="C178" s="294"/>
      <c r="D178" s="294"/>
      <c r="E178" s="295"/>
      <c r="F178" s="296"/>
      <c r="G178" s="297"/>
      <c r="H178" s="298"/>
      <c r="I178" s="299"/>
      <c r="J178" s="299"/>
      <c r="K178" s="299"/>
      <c r="L178" s="297"/>
      <c r="M178" s="299"/>
      <c r="N178" s="297"/>
      <c r="O178" s="300"/>
      <c r="P178" s="297"/>
      <c r="Q178" s="301"/>
      <c r="R178" s="302"/>
      <c r="S178" s="302"/>
      <c r="T178" s="302"/>
      <c r="U178" s="302"/>
      <c r="V178" s="302"/>
      <c r="W178" s="302"/>
      <c r="X178" s="451" t="s">
        <v>726</v>
      </c>
      <c r="Y178" s="467" t="s">
        <v>63</v>
      </c>
      <c r="Z178" s="453" t="s">
        <v>7</v>
      </c>
      <c r="AA178" s="453" t="s">
        <v>36</v>
      </c>
      <c r="AB178" s="542" t="s">
        <v>556</v>
      </c>
      <c r="AC178" s="473"/>
      <c r="AD178" s="672">
        <f t="shared" ref="AD178:AF180" si="45">AD179</f>
        <v>127</v>
      </c>
      <c r="AE178" s="634">
        <f t="shared" si="45"/>
        <v>227</v>
      </c>
      <c r="AF178" s="645">
        <f t="shared" si="45"/>
        <v>227</v>
      </c>
      <c r="AG178" s="303"/>
      <c r="AH178" s="303"/>
      <c r="AI178" s="304"/>
    </row>
    <row r="179" spans="1:35" s="305" customFormat="1" ht="35.25" customHeight="1" x14ac:dyDescent="0.25">
      <c r="A179" s="292"/>
      <c r="B179" s="293"/>
      <c r="C179" s="294"/>
      <c r="D179" s="294"/>
      <c r="E179" s="295"/>
      <c r="F179" s="296"/>
      <c r="G179" s="297"/>
      <c r="H179" s="298"/>
      <c r="I179" s="299"/>
      <c r="J179" s="299"/>
      <c r="K179" s="299"/>
      <c r="L179" s="297"/>
      <c r="M179" s="299"/>
      <c r="N179" s="297"/>
      <c r="O179" s="300"/>
      <c r="P179" s="297"/>
      <c r="Q179" s="301"/>
      <c r="R179" s="302"/>
      <c r="S179" s="302"/>
      <c r="T179" s="302"/>
      <c r="U179" s="302"/>
      <c r="V179" s="302"/>
      <c r="W179" s="302"/>
      <c r="X179" s="451" t="s">
        <v>754</v>
      </c>
      <c r="Y179" s="467" t="s">
        <v>63</v>
      </c>
      <c r="Z179" s="453" t="s">
        <v>7</v>
      </c>
      <c r="AA179" s="453" t="s">
        <v>36</v>
      </c>
      <c r="AB179" s="542" t="s">
        <v>557</v>
      </c>
      <c r="AC179" s="473"/>
      <c r="AD179" s="672">
        <f t="shared" si="45"/>
        <v>127</v>
      </c>
      <c r="AE179" s="634">
        <f t="shared" si="45"/>
        <v>227</v>
      </c>
      <c r="AF179" s="645">
        <f t="shared" si="45"/>
        <v>227</v>
      </c>
      <c r="AG179" s="303"/>
      <c r="AH179" s="303"/>
      <c r="AI179" s="304"/>
    </row>
    <row r="180" spans="1:35" s="305" customFormat="1" x14ac:dyDescent="0.25">
      <c r="A180" s="292"/>
      <c r="B180" s="293"/>
      <c r="C180" s="294"/>
      <c r="D180" s="294"/>
      <c r="E180" s="295"/>
      <c r="F180" s="296"/>
      <c r="G180" s="297"/>
      <c r="H180" s="298"/>
      <c r="I180" s="299"/>
      <c r="J180" s="299"/>
      <c r="K180" s="299"/>
      <c r="L180" s="297"/>
      <c r="M180" s="299"/>
      <c r="N180" s="297"/>
      <c r="O180" s="300"/>
      <c r="P180" s="297"/>
      <c r="Q180" s="301"/>
      <c r="R180" s="302"/>
      <c r="S180" s="302"/>
      <c r="T180" s="302"/>
      <c r="U180" s="302"/>
      <c r="V180" s="302"/>
      <c r="W180" s="302"/>
      <c r="X180" s="451" t="s">
        <v>120</v>
      </c>
      <c r="Y180" s="467" t="s">
        <v>63</v>
      </c>
      <c r="Z180" s="453" t="s">
        <v>7</v>
      </c>
      <c r="AA180" s="453" t="s">
        <v>36</v>
      </c>
      <c r="AB180" s="542" t="s">
        <v>557</v>
      </c>
      <c r="AC180" s="473" t="s">
        <v>37</v>
      </c>
      <c r="AD180" s="672">
        <f t="shared" si="45"/>
        <v>127</v>
      </c>
      <c r="AE180" s="634">
        <f t="shared" si="45"/>
        <v>227</v>
      </c>
      <c r="AF180" s="645">
        <f t="shared" si="45"/>
        <v>227</v>
      </c>
      <c r="AG180" s="303"/>
      <c r="AH180" s="303"/>
      <c r="AI180" s="304"/>
    </row>
    <row r="181" spans="1:35" s="305" customFormat="1" ht="31.5" x14ac:dyDescent="0.25">
      <c r="A181" s="292"/>
      <c r="B181" s="293"/>
      <c r="C181" s="294"/>
      <c r="D181" s="294"/>
      <c r="E181" s="295"/>
      <c r="F181" s="296"/>
      <c r="G181" s="297"/>
      <c r="H181" s="298"/>
      <c r="I181" s="299"/>
      <c r="J181" s="299"/>
      <c r="K181" s="299"/>
      <c r="L181" s="297"/>
      <c r="M181" s="299"/>
      <c r="N181" s="297"/>
      <c r="O181" s="300"/>
      <c r="P181" s="297"/>
      <c r="Q181" s="301"/>
      <c r="R181" s="302"/>
      <c r="S181" s="302"/>
      <c r="T181" s="302"/>
      <c r="U181" s="302"/>
      <c r="V181" s="302"/>
      <c r="W181" s="302"/>
      <c r="X181" s="451" t="s">
        <v>52</v>
      </c>
      <c r="Y181" s="467" t="s">
        <v>63</v>
      </c>
      <c r="Z181" s="453" t="s">
        <v>7</v>
      </c>
      <c r="AA181" s="453" t="s">
        <v>36</v>
      </c>
      <c r="AB181" s="542" t="s">
        <v>557</v>
      </c>
      <c r="AC181" s="473" t="s">
        <v>65</v>
      </c>
      <c r="AD181" s="672">
        <f>227-100</f>
        <v>127</v>
      </c>
      <c r="AE181" s="634">
        <v>227</v>
      </c>
      <c r="AF181" s="645">
        <v>227</v>
      </c>
      <c r="AG181" s="303"/>
      <c r="AH181" s="303"/>
      <c r="AI181" s="304"/>
    </row>
    <row r="182" spans="1:35" s="103" customFormat="1" ht="31.5" x14ac:dyDescent="0.25">
      <c r="A182" s="47"/>
      <c r="B182" s="78"/>
      <c r="C182" s="79"/>
      <c r="D182" s="79"/>
      <c r="E182" s="80"/>
      <c r="F182" s="104"/>
      <c r="G182" s="81"/>
      <c r="H182" s="81"/>
      <c r="I182" s="81"/>
      <c r="J182" s="81"/>
      <c r="K182" s="81"/>
      <c r="L182" s="73"/>
      <c r="M182" s="81"/>
      <c r="N182" s="73"/>
      <c r="O182" s="81"/>
      <c r="P182" s="81"/>
      <c r="Q182" s="83"/>
      <c r="R182" s="87"/>
      <c r="S182" s="87"/>
      <c r="T182" s="87"/>
      <c r="U182" s="87"/>
      <c r="V182" s="87"/>
      <c r="W182" s="87"/>
      <c r="X182" s="457" t="s">
        <v>357</v>
      </c>
      <c r="Y182" s="452" t="s">
        <v>63</v>
      </c>
      <c r="Z182" s="453" t="s">
        <v>7</v>
      </c>
      <c r="AA182" s="453" t="s">
        <v>36</v>
      </c>
      <c r="AB182" s="542" t="s">
        <v>104</v>
      </c>
      <c r="AC182" s="454"/>
      <c r="AD182" s="672">
        <f t="shared" ref="AD182:AF183" si="46">AD183</f>
        <v>698</v>
      </c>
      <c r="AE182" s="634">
        <f t="shared" si="46"/>
        <v>694</v>
      </c>
      <c r="AF182" s="645">
        <f t="shared" si="46"/>
        <v>694</v>
      </c>
      <c r="AG182" s="180"/>
      <c r="AH182" s="180"/>
      <c r="AI182" s="147"/>
    </row>
    <row r="183" spans="1:35" s="103" customFormat="1" ht="31.5" x14ac:dyDescent="0.25">
      <c r="A183" s="47"/>
      <c r="B183" s="78"/>
      <c r="C183" s="79"/>
      <c r="D183" s="79"/>
      <c r="E183" s="80"/>
      <c r="F183" s="104"/>
      <c r="G183" s="81"/>
      <c r="H183" s="81"/>
      <c r="I183" s="81"/>
      <c r="J183" s="81"/>
      <c r="K183" s="81"/>
      <c r="L183" s="73"/>
      <c r="M183" s="81"/>
      <c r="N183" s="73"/>
      <c r="O183" s="81"/>
      <c r="P183" s="81"/>
      <c r="Q183" s="83"/>
      <c r="R183" s="87"/>
      <c r="S183" s="87"/>
      <c r="T183" s="87"/>
      <c r="U183" s="87"/>
      <c r="V183" s="87"/>
      <c r="W183" s="87"/>
      <c r="X183" s="466" t="s">
        <v>562</v>
      </c>
      <c r="Y183" s="452" t="s">
        <v>63</v>
      </c>
      <c r="Z183" s="453" t="s">
        <v>7</v>
      </c>
      <c r="AA183" s="453" t="s">
        <v>36</v>
      </c>
      <c r="AB183" s="542" t="s">
        <v>125</v>
      </c>
      <c r="AC183" s="473"/>
      <c r="AD183" s="672">
        <f t="shared" si="46"/>
        <v>698</v>
      </c>
      <c r="AE183" s="634">
        <f t="shared" si="46"/>
        <v>694</v>
      </c>
      <c r="AF183" s="645">
        <f t="shared" si="46"/>
        <v>694</v>
      </c>
      <c r="AG183" s="180"/>
      <c r="AH183" s="180"/>
      <c r="AI183" s="147"/>
    </row>
    <row r="184" spans="1:35" s="103" customFormat="1" ht="31.5" x14ac:dyDescent="0.25">
      <c r="A184" s="47"/>
      <c r="B184" s="78"/>
      <c r="C184" s="79"/>
      <c r="D184" s="79"/>
      <c r="E184" s="80"/>
      <c r="F184" s="104"/>
      <c r="G184" s="81"/>
      <c r="H184" s="81"/>
      <c r="I184" s="81"/>
      <c r="J184" s="81"/>
      <c r="K184" s="81"/>
      <c r="L184" s="73"/>
      <c r="M184" s="81"/>
      <c r="N184" s="73"/>
      <c r="O184" s="81"/>
      <c r="P184" s="81"/>
      <c r="Q184" s="83"/>
      <c r="R184" s="87"/>
      <c r="S184" s="87"/>
      <c r="T184" s="87"/>
      <c r="U184" s="87"/>
      <c r="V184" s="87"/>
      <c r="W184" s="87"/>
      <c r="X184" s="451" t="s">
        <v>755</v>
      </c>
      <c r="Y184" s="452" t="s">
        <v>63</v>
      </c>
      <c r="Z184" s="453" t="s">
        <v>7</v>
      </c>
      <c r="AA184" s="453" t="s">
        <v>36</v>
      </c>
      <c r="AB184" s="542" t="s">
        <v>173</v>
      </c>
      <c r="AC184" s="454"/>
      <c r="AD184" s="672">
        <f>AD185+AD187</f>
        <v>698</v>
      </c>
      <c r="AE184" s="634">
        <f t="shared" ref="AE184:AF184" si="47">AE185+AE187</f>
        <v>694</v>
      </c>
      <c r="AF184" s="645">
        <f t="shared" si="47"/>
        <v>694</v>
      </c>
      <c r="AG184" s="180"/>
      <c r="AH184" s="180"/>
      <c r="AI184" s="147"/>
    </row>
    <row r="185" spans="1:35" s="103" customFormat="1" x14ac:dyDescent="0.25">
      <c r="A185" s="47"/>
      <c r="B185" s="78"/>
      <c r="C185" s="79"/>
      <c r="D185" s="79"/>
      <c r="E185" s="80"/>
      <c r="F185" s="104"/>
      <c r="G185" s="81"/>
      <c r="H185" s="81"/>
      <c r="I185" s="81"/>
      <c r="J185" s="81"/>
      <c r="K185" s="81"/>
      <c r="L185" s="73"/>
      <c r="M185" s="81"/>
      <c r="N185" s="73"/>
      <c r="O185" s="81"/>
      <c r="P185" s="81"/>
      <c r="Q185" s="83"/>
      <c r="R185" s="87"/>
      <c r="S185" s="87"/>
      <c r="T185" s="87"/>
      <c r="U185" s="87"/>
      <c r="V185" s="87"/>
      <c r="W185" s="87"/>
      <c r="X185" s="451" t="s">
        <v>120</v>
      </c>
      <c r="Y185" s="452" t="s">
        <v>63</v>
      </c>
      <c r="Z185" s="453" t="s">
        <v>7</v>
      </c>
      <c r="AA185" s="453" t="s">
        <v>36</v>
      </c>
      <c r="AB185" s="542" t="s">
        <v>173</v>
      </c>
      <c r="AC185" s="473" t="s">
        <v>37</v>
      </c>
      <c r="AD185" s="672">
        <f>AD186</f>
        <v>359.5</v>
      </c>
      <c r="AE185" s="634">
        <f>AE186</f>
        <v>355.5</v>
      </c>
      <c r="AF185" s="645">
        <f>AF186</f>
        <v>435</v>
      </c>
      <c r="AG185" s="180"/>
      <c r="AH185" s="180"/>
      <c r="AI185" s="147"/>
    </row>
    <row r="186" spans="1:35" s="103" customFormat="1" ht="31.5" x14ac:dyDescent="0.25">
      <c r="A186" s="47"/>
      <c r="B186" s="78"/>
      <c r="C186" s="79"/>
      <c r="D186" s="79"/>
      <c r="E186" s="80"/>
      <c r="F186" s="104"/>
      <c r="G186" s="81"/>
      <c r="H186" s="81"/>
      <c r="I186" s="81"/>
      <c r="J186" s="81"/>
      <c r="K186" s="81"/>
      <c r="L186" s="73"/>
      <c r="M186" s="81"/>
      <c r="N186" s="73"/>
      <c r="O186" s="81"/>
      <c r="P186" s="81"/>
      <c r="Q186" s="83"/>
      <c r="R186" s="87"/>
      <c r="S186" s="87"/>
      <c r="T186" s="87"/>
      <c r="U186" s="87"/>
      <c r="V186" s="87"/>
      <c r="W186" s="87"/>
      <c r="X186" s="451" t="s">
        <v>52</v>
      </c>
      <c r="Y186" s="452" t="s">
        <v>63</v>
      </c>
      <c r="Z186" s="453" t="s">
        <v>7</v>
      </c>
      <c r="AA186" s="453" t="s">
        <v>36</v>
      </c>
      <c r="AB186" s="542" t="s">
        <v>173</v>
      </c>
      <c r="AC186" s="473" t="s">
        <v>65</v>
      </c>
      <c r="AD186" s="672">
        <f>355.5+4</f>
        <v>359.5</v>
      </c>
      <c r="AE186" s="634">
        <v>355.5</v>
      </c>
      <c r="AF186" s="645">
        <v>435</v>
      </c>
      <c r="AG186" s="180"/>
      <c r="AH186" s="180"/>
      <c r="AI186" s="147"/>
    </row>
    <row r="187" spans="1:35" s="500" customFormat="1" ht="31.5" x14ac:dyDescent="0.25">
      <c r="A187" s="491"/>
      <c r="B187" s="493"/>
      <c r="C187" s="494"/>
      <c r="D187" s="494"/>
      <c r="E187" s="495"/>
      <c r="F187" s="104"/>
      <c r="G187" s="496"/>
      <c r="H187" s="496"/>
      <c r="I187" s="496"/>
      <c r="J187" s="496"/>
      <c r="K187" s="496"/>
      <c r="L187" s="492"/>
      <c r="M187" s="496"/>
      <c r="N187" s="492"/>
      <c r="O187" s="496"/>
      <c r="P187" s="496"/>
      <c r="Q187" s="497"/>
      <c r="R187" s="498"/>
      <c r="S187" s="498"/>
      <c r="T187" s="498"/>
      <c r="U187" s="498"/>
      <c r="V187" s="498"/>
      <c r="W187" s="498"/>
      <c r="X187" s="451" t="s">
        <v>60</v>
      </c>
      <c r="Y187" s="452" t="s">
        <v>63</v>
      </c>
      <c r="Z187" s="453" t="s">
        <v>7</v>
      </c>
      <c r="AA187" s="453" t="s">
        <v>36</v>
      </c>
      <c r="AB187" s="542" t="s">
        <v>173</v>
      </c>
      <c r="AC187" s="473" t="s">
        <v>387</v>
      </c>
      <c r="AD187" s="672">
        <f>AD188</f>
        <v>338.5</v>
      </c>
      <c r="AE187" s="634">
        <f t="shared" ref="AE187:AF187" si="48">AE188</f>
        <v>338.5</v>
      </c>
      <c r="AF187" s="645">
        <f t="shared" si="48"/>
        <v>259</v>
      </c>
      <c r="AG187" s="506"/>
      <c r="AH187" s="506"/>
      <c r="AI187" s="502"/>
    </row>
    <row r="188" spans="1:35" s="500" customFormat="1" x14ac:dyDescent="0.25">
      <c r="A188" s="491"/>
      <c r="B188" s="493"/>
      <c r="C188" s="494"/>
      <c r="D188" s="494"/>
      <c r="E188" s="495"/>
      <c r="F188" s="104"/>
      <c r="G188" s="496"/>
      <c r="H188" s="496"/>
      <c r="I188" s="496"/>
      <c r="J188" s="496"/>
      <c r="K188" s="496"/>
      <c r="L188" s="492"/>
      <c r="M188" s="496"/>
      <c r="N188" s="492"/>
      <c r="O188" s="496"/>
      <c r="P188" s="496"/>
      <c r="Q188" s="497"/>
      <c r="R188" s="498"/>
      <c r="S188" s="498"/>
      <c r="T188" s="498"/>
      <c r="U188" s="498"/>
      <c r="V188" s="498"/>
      <c r="W188" s="498"/>
      <c r="X188" s="451" t="s">
        <v>61</v>
      </c>
      <c r="Y188" s="452" t="s">
        <v>63</v>
      </c>
      <c r="Z188" s="453" t="s">
        <v>7</v>
      </c>
      <c r="AA188" s="453" t="s">
        <v>36</v>
      </c>
      <c r="AB188" s="542" t="s">
        <v>173</v>
      </c>
      <c r="AC188" s="473" t="s">
        <v>388</v>
      </c>
      <c r="AD188" s="672">
        <v>338.5</v>
      </c>
      <c r="AE188" s="634">
        <v>338.5</v>
      </c>
      <c r="AF188" s="645">
        <v>259</v>
      </c>
      <c r="AG188" s="506"/>
      <c r="AH188" s="506"/>
      <c r="AI188" s="502"/>
    </row>
    <row r="189" spans="1:35" s="103" customFormat="1" ht="31.5" x14ac:dyDescent="0.25">
      <c r="A189" s="47"/>
      <c r="B189" s="78"/>
      <c r="C189" s="79"/>
      <c r="D189" s="79"/>
      <c r="E189" s="80"/>
      <c r="F189" s="104"/>
      <c r="G189" s="81"/>
      <c r="H189" s="81"/>
      <c r="I189" s="81"/>
      <c r="J189" s="81"/>
      <c r="K189" s="81"/>
      <c r="L189" s="73"/>
      <c r="M189" s="81"/>
      <c r="N189" s="73"/>
      <c r="O189" s="81"/>
      <c r="P189" s="81"/>
      <c r="Q189" s="83"/>
      <c r="R189" s="87"/>
      <c r="S189" s="87"/>
      <c r="T189" s="87"/>
      <c r="U189" s="87"/>
      <c r="V189" s="87"/>
      <c r="W189" s="87"/>
      <c r="X189" s="451" t="s">
        <v>563</v>
      </c>
      <c r="Y189" s="452" t="s">
        <v>63</v>
      </c>
      <c r="Z189" s="453" t="s">
        <v>7</v>
      </c>
      <c r="AA189" s="453" t="s">
        <v>36</v>
      </c>
      <c r="AB189" s="542" t="s">
        <v>108</v>
      </c>
      <c r="AC189" s="473"/>
      <c r="AD189" s="672">
        <f t="shared" ref="AD189:AF190" si="49">AD190</f>
        <v>870</v>
      </c>
      <c r="AE189" s="634">
        <f t="shared" si="49"/>
        <v>770</v>
      </c>
      <c r="AF189" s="645">
        <f t="shared" si="49"/>
        <v>770</v>
      </c>
      <c r="AG189" s="180"/>
      <c r="AH189" s="180"/>
      <c r="AI189" s="147"/>
    </row>
    <row r="190" spans="1:35" s="103" customFormat="1" ht="31.5" x14ac:dyDescent="0.25">
      <c r="A190" s="47"/>
      <c r="B190" s="78"/>
      <c r="C190" s="79"/>
      <c r="D190" s="79"/>
      <c r="E190" s="80"/>
      <c r="F190" s="104"/>
      <c r="G190" s="81"/>
      <c r="H190" s="81"/>
      <c r="I190" s="81"/>
      <c r="J190" s="81"/>
      <c r="K190" s="81"/>
      <c r="L190" s="73"/>
      <c r="M190" s="81"/>
      <c r="N190" s="73"/>
      <c r="O190" s="81"/>
      <c r="P190" s="81"/>
      <c r="Q190" s="83"/>
      <c r="R190" s="87"/>
      <c r="S190" s="87"/>
      <c r="T190" s="87"/>
      <c r="U190" s="87"/>
      <c r="V190" s="87"/>
      <c r="W190" s="87"/>
      <c r="X190" s="451" t="s">
        <v>564</v>
      </c>
      <c r="Y190" s="452" t="s">
        <v>63</v>
      </c>
      <c r="Z190" s="453" t="s">
        <v>7</v>
      </c>
      <c r="AA190" s="453" t="s">
        <v>36</v>
      </c>
      <c r="AB190" s="542" t="s">
        <v>565</v>
      </c>
      <c r="AC190" s="473"/>
      <c r="AD190" s="672">
        <f t="shared" si="49"/>
        <v>870</v>
      </c>
      <c r="AE190" s="634">
        <f t="shared" si="49"/>
        <v>770</v>
      </c>
      <c r="AF190" s="645">
        <f t="shared" si="49"/>
        <v>770</v>
      </c>
      <c r="AG190" s="180"/>
      <c r="AH190" s="180"/>
      <c r="AI190" s="147"/>
    </row>
    <row r="191" spans="1:35" s="103" customFormat="1" ht="31.5" x14ac:dyDescent="0.25">
      <c r="A191" s="47"/>
      <c r="B191" s="78"/>
      <c r="C191" s="79"/>
      <c r="D191" s="79"/>
      <c r="E191" s="80"/>
      <c r="F191" s="104"/>
      <c r="G191" s="81"/>
      <c r="H191" s="81"/>
      <c r="I191" s="81"/>
      <c r="J191" s="81"/>
      <c r="K191" s="81"/>
      <c r="L191" s="73"/>
      <c r="M191" s="81"/>
      <c r="N191" s="73"/>
      <c r="O191" s="81"/>
      <c r="P191" s="81"/>
      <c r="Q191" s="83"/>
      <c r="R191" s="87"/>
      <c r="S191" s="87"/>
      <c r="T191" s="87"/>
      <c r="U191" s="87"/>
      <c r="V191" s="87"/>
      <c r="W191" s="87"/>
      <c r="X191" s="451" t="s">
        <v>172</v>
      </c>
      <c r="Y191" s="452" t="s">
        <v>63</v>
      </c>
      <c r="Z191" s="453" t="s">
        <v>7</v>
      </c>
      <c r="AA191" s="453" t="s">
        <v>36</v>
      </c>
      <c r="AB191" s="542" t="s">
        <v>566</v>
      </c>
      <c r="AC191" s="473"/>
      <c r="AD191" s="672">
        <f>AD194+AD192</f>
        <v>870</v>
      </c>
      <c r="AE191" s="672">
        <f t="shared" ref="AE191:AF191" si="50">AE194+AE192</f>
        <v>770</v>
      </c>
      <c r="AF191" s="672">
        <f t="shared" si="50"/>
        <v>770</v>
      </c>
      <c r="AG191" s="180"/>
      <c r="AH191" s="180"/>
      <c r="AI191" s="147"/>
    </row>
    <row r="192" spans="1:35" s="500" customFormat="1" x14ac:dyDescent="0.25">
      <c r="A192" s="491"/>
      <c r="B192" s="493"/>
      <c r="C192" s="494"/>
      <c r="D192" s="494"/>
      <c r="E192" s="495"/>
      <c r="F192" s="104"/>
      <c r="G192" s="496"/>
      <c r="H192" s="496"/>
      <c r="I192" s="496"/>
      <c r="J192" s="496"/>
      <c r="K192" s="496"/>
      <c r="L192" s="492"/>
      <c r="M192" s="496"/>
      <c r="N192" s="492"/>
      <c r="O192" s="496"/>
      <c r="P192" s="496"/>
      <c r="Q192" s="497"/>
      <c r="R192" s="498"/>
      <c r="S192" s="498"/>
      <c r="T192" s="498"/>
      <c r="U192" s="498"/>
      <c r="V192" s="498"/>
      <c r="W192" s="498"/>
      <c r="X192" s="451" t="s">
        <v>120</v>
      </c>
      <c r="Y192" s="452" t="s">
        <v>63</v>
      </c>
      <c r="Z192" s="453" t="s">
        <v>7</v>
      </c>
      <c r="AA192" s="453" t="s">
        <v>36</v>
      </c>
      <c r="AB192" s="542" t="s">
        <v>566</v>
      </c>
      <c r="AC192" s="473" t="s">
        <v>37</v>
      </c>
      <c r="AD192" s="672">
        <f>AD193</f>
        <v>100</v>
      </c>
      <c r="AE192" s="672">
        <f t="shared" ref="AE192:AF192" si="51">AE193</f>
        <v>0</v>
      </c>
      <c r="AF192" s="672">
        <f t="shared" si="51"/>
        <v>0</v>
      </c>
      <c r="AG192" s="506"/>
      <c r="AH192" s="506"/>
      <c r="AI192" s="502"/>
    </row>
    <row r="193" spans="1:37" s="500" customFormat="1" ht="31.5" x14ac:dyDescent="0.25">
      <c r="A193" s="491"/>
      <c r="B193" s="493"/>
      <c r="C193" s="494"/>
      <c r="D193" s="494"/>
      <c r="E193" s="495"/>
      <c r="F193" s="104"/>
      <c r="G193" s="496"/>
      <c r="H193" s="496"/>
      <c r="I193" s="496"/>
      <c r="J193" s="496"/>
      <c r="K193" s="496"/>
      <c r="L193" s="492"/>
      <c r="M193" s="496"/>
      <c r="N193" s="492"/>
      <c r="O193" s="496"/>
      <c r="P193" s="496"/>
      <c r="Q193" s="497"/>
      <c r="R193" s="498"/>
      <c r="S193" s="498"/>
      <c r="T193" s="498"/>
      <c r="U193" s="498"/>
      <c r="V193" s="498"/>
      <c r="W193" s="498"/>
      <c r="X193" s="451" t="s">
        <v>52</v>
      </c>
      <c r="Y193" s="452" t="s">
        <v>63</v>
      </c>
      <c r="Z193" s="453" t="s">
        <v>7</v>
      </c>
      <c r="AA193" s="453" t="s">
        <v>36</v>
      </c>
      <c r="AB193" s="542" t="s">
        <v>566</v>
      </c>
      <c r="AC193" s="473" t="s">
        <v>65</v>
      </c>
      <c r="AD193" s="672">
        <f>100</f>
        <v>100</v>
      </c>
      <c r="AE193" s="634">
        <v>0</v>
      </c>
      <c r="AF193" s="645">
        <v>0</v>
      </c>
      <c r="AG193" s="506"/>
      <c r="AH193" s="506"/>
      <c r="AI193" s="502"/>
    </row>
    <row r="194" spans="1:37" s="103" customFormat="1" ht="31.5" x14ac:dyDescent="0.25">
      <c r="A194" s="47"/>
      <c r="B194" s="78"/>
      <c r="C194" s="79"/>
      <c r="D194" s="79"/>
      <c r="E194" s="80"/>
      <c r="F194" s="104"/>
      <c r="G194" s="81"/>
      <c r="H194" s="81"/>
      <c r="I194" s="81"/>
      <c r="J194" s="81"/>
      <c r="K194" s="81"/>
      <c r="L194" s="73"/>
      <c r="M194" s="81"/>
      <c r="N194" s="73"/>
      <c r="O194" s="81"/>
      <c r="P194" s="81"/>
      <c r="Q194" s="83"/>
      <c r="R194" s="87"/>
      <c r="S194" s="87"/>
      <c r="T194" s="87"/>
      <c r="U194" s="87"/>
      <c r="V194" s="87"/>
      <c r="W194" s="87"/>
      <c r="X194" s="451" t="s">
        <v>60</v>
      </c>
      <c r="Y194" s="452" t="s">
        <v>63</v>
      </c>
      <c r="Z194" s="453" t="s">
        <v>7</v>
      </c>
      <c r="AA194" s="453" t="s">
        <v>36</v>
      </c>
      <c r="AB194" s="542" t="s">
        <v>566</v>
      </c>
      <c r="AC194" s="473" t="s">
        <v>387</v>
      </c>
      <c r="AD194" s="672">
        <f>AD195</f>
        <v>770</v>
      </c>
      <c r="AE194" s="634">
        <f>AE195</f>
        <v>770</v>
      </c>
      <c r="AF194" s="645">
        <f>AF195</f>
        <v>770</v>
      </c>
      <c r="AG194" s="180"/>
      <c r="AH194" s="180"/>
      <c r="AI194" s="147"/>
    </row>
    <row r="195" spans="1:37" s="103" customFormat="1" x14ac:dyDescent="0.25">
      <c r="A195" s="47"/>
      <c r="B195" s="78"/>
      <c r="C195" s="79"/>
      <c r="D195" s="79"/>
      <c r="E195" s="80"/>
      <c r="F195" s="104"/>
      <c r="G195" s="81"/>
      <c r="H195" s="81"/>
      <c r="I195" s="81"/>
      <c r="J195" s="81"/>
      <c r="K195" s="81"/>
      <c r="L195" s="73"/>
      <c r="M195" s="81"/>
      <c r="N195" s="73"/>
      <c r="O195" s="81"/>
      <c r="P195" s="81"/>
      <c r="Q195" s="83"/>
      <c r="R195" s="87"/>
      <c r="S195" s="87"/>
      <c r="T195" s="87"/>
      <c r="U195" s="87"/>
      <c r="V195" s="87"/>
      <c r="W195" s="87"/>
      <c r="X195" s="451" t="s">
        <v>61</v>
      </c>
      <c r="Y195" s="452" t="s">
        <v>63</v>
      </c>
      <c r="Z195" s="453" t="s">
        <v>7</v>
      </c>
      <c r="AA195" s="453" t="s">
        <v>36</v>
      </c>
      <c r="AB195" s="542" t="s">
        <v>566</v>
      </c>
      <c r="AC195" s="473" t="s">
        <v>388</v>
      </c>
      <c r="AD195" s="672">
        <f>770</f>
        <v>770</v>
      </c>
      <c r="AE195" s="634">
        <v>770</v>
      </c>
      <c r="AF195" s="645">
        <v>770</v>
      </c>
      <c r="AG195" s="180"/>
      <c r="AH195" s="180"/>
      <c r="AI195" s="147"/>
    </row>
    <row r="196" spans="1:37" s="103" customFormat="1" x14ac:dyDescent="0.25">
      <c r="A196" s="47"/>
      <c r="B196" s="78"/>
      <c r="C196" s="79"/>
      <c r="D196" s="79"/>
      <c r="E196" s="80"/>
      <c r="F196" s="104"/>
      <c r="G196" s="81"/>
      <c r="H196" s="81"/>
      <c r="I196" s="81"/>
      <c r="J196" s="81"/>
      <c r="K196" s="81"/>
      <c r="L196" s="73"/>
      <c r="M196" s="81"/>
      <c r="N196" s="73"/>
      <c r="O196" s="81"/>
      <c r="P196" s="81"/>
      <c r="Q196" s="83"/>
      <c r="R196" s="87"/>
      <c r="S196" s="87"/>
      <c r="T196" s="87"/>
      <c r="U196" s="87"/>
      <c r="V196" s="87"/>
      <c r="W196" s="87"/>
      <c r="X196" s="466" t="s">
        <v>48</v>
      </c>
      <c r="Y196" s="452" t="s">
        <v>63</v>
      </c>
      <c r="Z196" s="453" t="s">
        <v>7</v>
      </c>
      <c r="AA196" s="453" t="s">
        <v>36</v>
      </c>
      <c r="AB196" s="542" t="s">
        <v>105</v>
      </c>
      <c r="AC196" s="473"/>
      <c r="AD196" s="672">
        <f t="shared" ref="AD196:AF197" si="52">AD197</f>
        <v>27231.8</v>
      </c>
      <c r="AE196" s="634">
        <f t="shared" si="52"/>
        <v>9650</v>
      </c>
      <c r="AF196" s="645">
        <f t="shared" si="52"/>
        <v>9686</v>
      </c>
      <c r="AG196" s="180"/>
      <c r="AH196" s="180"/>
      <c r="AI196" s="147"/>
    </row>
    <row r="197" spans="1:37" s="103" customFormat="1" ht="31.5" x14ac:dyDescent="0.25">
      <c r="A197" s="47"/>
      <c r="B197" s="78"/>
      <c r="C197" s="79"/>
      <c r="D197" s="79"/>
      <c r="E197" s="80"/>
      <c r="F197" s="104"/>
      <c r="G197" s="81"/>
      <c r="H197" s="81"/>
      <c r="I197" s="81"/>
      <c r="J197" s="81"/>
      <c r="K197" s="81"/>
      <c r="L197" s="73"/>
      <c r="M197" s="81"/>
      <c r="N197" s="73"/>
      <c r="O197" s="81"/>
      <c r="P197" s="81"/>
      <c r="Q197" s="83"/>
      <c r="R197" s="87"/>
      <c r="S197" s="87"/>
      <c r="T197" s="87"/>
      <c r="U197" s="87"/>
      <c r="V197" s="87"/>
      <c r="W197" s="87"/>
      <c r="X197" s="466" t="s">
        <v>269</v>
      </c>
      <c r="Y197" s="452" t="s">
        <v>63</v>
      </c>
      <c r="Z197" s="453" t="s">
        <v>7</v>
      </c>
      <c r="AA197" s="453" t="s">
        <v>36</v>
      </c>
      <c r="AB197" s="542" t="s">
        <v>351</v>
      </c>
      <c r="AC197" s="473"/>
      <c r="AD197" s="672">
        <f t="shared" si="52"/>
        <v>27231.8</v>
      </c>
      <c r="AE197" s="634">
        <f t="shared" si="52"/>
        <v>9650</v>
      </c>
      <c r="AF197" s="645">
        <f t="shared" si="52"/>
        <v>9686</v>
      </c>
      <c r="AG197" s="180"/>
      <c r="AH197" s="180"/>
      <c r="AI197" s="147"/>
    </row>
    <row r="198" spans="1:37" s="103" customFormat="1" x14ac:dyDescent="0.25">
      <c r="A198" s="47"/>
      <c r="B198" s="78"/>
      <c r="C198" s="79"/>
      <c r="D198" s="79"/>
      <c r="E198" s="80"/>
      <c r="F198" s="104"/>
      <c r="G198" s="81"/>
      <c r="H198" s="81"/>
      <c r="I198" s="81"/>
      <c r="J198" s="81"/>
      <c r="K198" s="81"/>
      <c r="L198" s="73"/>
      <c r="M198" s="81"/>
      <c r="N198" s="73"/>
      <c r="O198" s="81"/>
      <c r="P198" s="81"/>
      <c r="Q198" s="83"/>
      <c r="R198" s="87"/>
      <c r="S198" s="87"/>
      <c r="T198" s="87"/>
      <c r="U198" s="87"/>
      <c r="V198" s="87"/>
      <c r="W198" s="87"/>
      <c r="X198" s="466" t="s">
        <v>176</v>
      </c>
      <c r="Y198" s="452" t="s">
        <v>63</v>
      </c>
      <c r="Z198" s="453" t="s">
        <v>7</v>
      </c>
      <c r="AA198" s="453" t="s">
        <v>36</v>
      </c>
      <c r="AB198" s="542" t="s">
        <v>177</v>
      </c>
      <c r="AC198" s="473"/>
      <c r="AD198" s="672">
        <f>AD199+AD201</f>
        <v>27231.8</v>
      </c>
      <c r="AE198" s="634">
        <f>AE199+AE201</f>
        <v>9650</v>
      </c>
      <c r="AF198" s="645">
        <f>AF199+AF201</f>
        <v>9686</v>
      </c>
      <c r="AG198" s="180"/>
      <c r="AH198" s="180"/>
      <c r="AI198" s="147"/>
    </row>
    <row r="199" spans="1:37" s="103" customFormat="1" ht="47.25" x14ac:dyDescent="0.25">
      <c r="A199" s="47"/>
      <c r="B199" s="78"/>
      <c r="C199" s="79"/>
      <c r="D199" s="79"/>
      <c r="E199" s="80"/>
      <c r="F199" s="104"/>
      <c r="G199" s="81"/>
      <c r="H199" s="81"/>
      <c r="I199" s="81"/>
      <c r="J199" s="81"/>
      <c r="K199" s="81"/>
      <c r="L199" s="73"/>
      <c r="M199" s="81"/>
      <c r="N199" s="73"/>
      <c r="O199" s="81"/>
      <c r="P199" s="81"/>
      <c r="Q199" s="83"/>
      <c r="R199" s="87"/>
      <c r="S199" s="87"/>
      <c r="T199" s="87"/>
      <c r="U199" s="87"/>
      <c r="V199" s="87"/>
      <c r="W199" s="87"/>
      <c r="X199" s="451" t="s">
        <v>150</v>
      </c>
      <c r="Y199" s="452" t="s">
        <v>63</v>
      </c>
      <c r="Z199" s="453" t="s">
        <v>7</v>
      </c>
      <c r="AA199" s="453" t="s">
        <v>36</v>
      </c>
      <c r="AB199" s="542" t="s">
        <v>177</v>
      </c>
      <c r="AC199" s="473" t="s">
        <v>127</v>
      </c>
      <c r="AD199" s="672">
        <f>AD200</f>
        <v>25165.599999999999</v>
      </c>
      <c r="AE199" s="634">
        <f>AE200</f>
        <v>7883.8</v>
      </c>
      <c r="AF199" s="645">
        <f>AF200</f>
        <v>7919.8</v>
      </c>
      <c r="AG199" s="180"/>
      <c r="AH199" s="180"/>
      <c r="AI199" s="147"/>
    </row>
    <row r="200" spans="1:37" s="103" customFormat="1" x14ac:dyDescent="0.25">
      <c r="A200" s="47"/>
      <c r="B200" s="78"/>
      <c r="C200" s="79"/>
      <c r="D200" s="79"/>
      <c r="E200" s="80"/>
      <c r="F200" s="104"/>
      <c r="G200" s="81"/>
      <c r="H200" s="81"/>
      <c r="I200" s="81"/>
      <c r="J200" s="81"/>
      <c r="K200" s="81"/>
      <c r="L200" s="73"/>
      <c r="M200" s="81"/>
      <c r="N200" s="73"/>
      <c r="O200" s="81"/>
      <c r="P200" s="81"/>
      <c r="Q200" s="83"/>
      <c r="R200" s="87"/>
      <c r="S200" s="87"/>
      <c r="T200" s="87"/>
      <c r="U200" s="87"/>
      <c r="V200" s="87"/>
      <c r="W200" s="87"/>
      <c r="X200" s="451" t="s">
        <v>68</v>
      </c>
      <c r="Y200" s="452" t="s">
        <v>63</v>
      </c>
      <c r="Z200" s="453" t="s">
        <v>7</v>
      </c>
      <c r="AA200" s="453" t="s">
        <v>36</v>
      </c>
      <c r="AB200" s="542" t="s">
        <v>177</v>
      </c>
      <c r="AC200" s="473" t="s">
        <v>128</v>
      </c>
      <c r="AD200" s="672">
        <f>25162.6+3</f>
        <v>25165.599999999999</v>
      </c>
      <c r="AE200" s="634">
        <v>7883.8</v>
      </c>
      <c r="AF200" s="645">
        <v>7919.8</v>
      </c>
      <c r="AG200" s="180"/>
      <c r="AH200" s="180"/>
      <c r="AI200" s="744"/>
      <c r="AJ200" s="745"/>
      <c r="AK200" s="105"/>
    </row>
    <row r="201" spans="1:37" s="103" customFormat="1" x14ac:dyDescent="0.25">
      <c r="A201" s="47"/>
      <c r="B201" s="78"/>
      <c r="C201" s="79"/>
      <c r="D201" s="79"/>
      <c r="E201" s="80"/>
      <c r="F201" s="104"/>
      <c r="G201" s="81"/>
      <c r="H201" s="105"/>
      <c r="I201" s="49"/>
      <c r="J201" s="49"/>
      <c r="K201" s="49"/>
      <c r="L201" s="81"/>
      <c r="M201" s="49"/>
      <c r="N201" s="81"/>
      <c r="O201" s="82"/>
      <c r="P201" s="81"/>
      <c r="Q201" s="83"/>
      <c r="R201" s="87"/>
      <c r="S201" s="87"/>
      <c r="T201" s="87"/>
      <c r="U201" s="87"/>
      <c r="V201" s="87"/>
      <c r="W201" s="87"/>
      <c r="X201" s="451" t="s">
        <v>120</v>
      </c>
      <c r="Y201" s="452" t="s">
        <v>63</v>
      </c>
      <c r="Z201" s="453" t="s">
        <v>7</v>
      </c>
      <c r="AA201" s="453" t="s">
        <v>36</v>
      </c>
      <c r="AB201" s="542" t="s">
        <v>177</v>
      </c>
      <c r="AC201" s="473" t="s">
        <v>37</v>
      </c>
      <c r="AD201" s="672">
        <f>AD202</f>
        <v>2066.1999999999998</v>
      </c>
      <c r="AE201" s="634">
        <f>AE202</f>
        <v>1766.2</v>
      </c>
      <c r="AF201" s="645">
        <f>AF202</f>
        <v>1766.2</v>
      </c>
      <c r="AG201" s="180"/>
      <c r="AH201" s="180"/>
      <c r="AI201" s="147"/>
    </row>
    <row r="202" spans="1:37" s="103" customFormat="1" ht="31.5" x14ac:dyDescent="0.25">
      <c r="A202" s="47"/>
      <c r="B202" s="78"/>
      <c r="C202" s="79"/>
      <c r="D202" s="79"/>
      <c r="E202" s="80"/>
      <c r="F202" s="104"/>
      <c r="G202" s="81"/>
      <c r="H202" s="105"/>
      <c r="I202" s="49"/>
      <c r="J202" s="49"/>
      <c r="K202" s="49"/>
      <c r="L202" s="81"/>
      <c r="M202" s="49"/>
      <c r="N202" s="81"/>
      <c r="O202" s="82"/>
      <c r="P202" s="81"/>
      <c r="Q202" s="83"/>
      <c r="R202" s="87"/>
      <c r="S202" s="87"/>
      <c r="T202" s="87"/>
      <c r="U202" s="87"/>
      <c r="V202" s="87"/>
      <c r="W202" s="87"/>
      <c r="X202" s="451" t="s">
        <v>52</v>
      </c>
      <c r="Y202" s="452" t="s">
        <v>63</v>
      </c>
      <c r="Z202" s="453" t="s">
        <v>7</v>
      </c>
      <c r="AA202" s="453" t="s">
        <v>36</v>
      </c>
      <c r="AB202" s="542" t="s">
        <v>177</v>
      </c>
      <c r="AC202" s="473" t="s">
        <v>65</v>
      </c>
      <c r="AD202" s="672">
        <f>1766.2+300</f>
        <v>2066.1999999999998</v>
      </c>
      <c r="AE202" s="634">
        <v>1766.2</v>
      </c>
      <c r="AF202" s="645">
        <v>1766.2</v>
      </c>
      <c r="AG202" s="180"/>
      <c r="AH202" s="180"/>
      <c r="AI202" s="147"/>
    </row>
    <row r="203" spans="1:37" s="500" customFormat="1" x14ac:dyDescent="0.25">
      <c r="A203" s="491"/>
      <c r="B203" s="493"/>
      <c r="C203" s="494"/>
      <c r="D203" s="494"/>
      <c r="E203" s="495"/>
      <c r="F203" s="104"/>
      <c r="G203" s="496"/>
      <c r="H203" s="105"/>
      <c r="I203" s="49"/>
      <c r="J203" s="49"/>
      <c r="K203" s="49"/>
      <c r="L203" s="496"/>
      <c r="M203" s="49"/>
      <c r="N203" s="496"/>
      <c r="O203" s="82"/>
      <c r="P203" s="496"/>
      <c r="Q203" s="497"/>
      <c r="R203" s="498"/>
      <c r="S203" s="498"/>
      <c r="T203" s="498"/>
      <c r="U203" s="498"/>
      <c r="V203" s="498"/>
      <c r="W203" s="498"/>
      <c r="X203" s="457" t="s">
        <v>186</v>
      </c>
      <c r="Y203" s="452" t="s">
        <v>63</v>
      </c>
      <c r="Z203" s="453" t="s">
        <v>7</v>
      </c>
      <c r="AA203" s="453" t="s">
        <v>36</v>
      </c>
      <c r="AB203" s="542" t="s">
        <v>112</v>
      </c>
      <c r="AC203" s="482"/>
      <c r="AD203" s="672">
        <f>AD204</f>
        <v>10</v>
      </c>
      <c r="AE203" s="634">
        <f t="shared" ref="AE203:AF207" si="53">AE204</f>
        <v>0</v>
      </c>
      <c r="AF203" s="645">
        <f t="shared" si="53"/>
        <v>0</v>
      </c>
      <c r="AG203" s="506"/>
      <c r="AH203" s="506"/>
      <c r="AI203" s="502"/>
    </row>
    <row r="204" spans="1:37" s="500" customFormat="1" x14ac:dyDescent="0.25">
      <c r="A204" s="491"/>
      <c r="B204" s="493"/>
      <c r="C204" s="494"/>
      <c r="D204" s="494"/>
      <c r="E204" s="495"/>
      <c r="F204" s="104"/>
      <c r="G204" s="496"/>
      <c r="H204" s="105"/>
      <c r="I204" s="49"/>
      <c r="J204" s="49"/>
      <c r="K204" s="49"/>
      <c r="L204" s="496"/>
      <c r="M204" s="49"/>
      <c r="N204" s="496"/>
      <c r="O204" s="82"/>
      <c r="P204" s="496"/>
      <c r="Q204" s="497"/>
      <c r="R204" s="498"/>
      <c r="S204" s="498"/>
      <c r="T204" s="498"/>
      <c r="U204" s="498"/>
      <c r="V204" s="498"/>
      <c r="W204" s="498"/>
      <c r="X204" s="457" t="s">
        <v>189</v>
      </c>
      <c r="Y204" s="452" t="s">
        <v>63</v>
      </c>
      <c r="Z204" s="453" t="s">
        <v>7</v>
      </c>
      <c r="AA204" s="453" t="s">
        <v>36</v>
      </c>
      <c r="AB204" s="542" t="s">
        <v>190</v>
      </c>
      <c r="AC204" s="482"/>
      <c r="AD204" s="672">
        <f>AD205</f>
        <v>10</v>
      </c>
      <c r="AE204" s="634">
        <f t="shared" si="53"/>
        <v>0</v>
      </c>
      <c r="AF204" s="645">
        <f t="shared" si="53"/>
        <v>0</v>
      </c>
      <c r="AG204" s="506"/>
      <c r="AH204" s="506"/>
      <c r="AI204" s="502"/>
    </row>
    <row r="205" spans="1:37" s="500" customFormat="1" ht="31.5" x14ac:dyDescent="0.25">
      <c r="A205" s="491"/>
      <c r="B205" s="493"/>
      <c r="C205" s="494"/>
      <c r="D205" s="494"/>
      <c r="E205" s="495"/>
      <c r="F205" s="104"/>
      <c r="G205" s="496"/>
      <c r="H205" s="105"/>
      <c r="I205" s="49"/>
      <c r="J205" s="49"/>
      <c r="K205" s="49"/>
      <c r="L205" s="496"/>
      <c r="M205" s="49"/>
      <c r="N205" s="496"/>
      <c r="O205" s="82"/>
      <c r="P205" s="496"/>
      <c r="Q205" s="497"/>
      <c r="R205" s="498"/>
      <c r="S205" s="498"/>
      <c r="T205" s="498"/>
      <c r="U205" s="498"/>
      <c r="V205" s="498"/>
      <c r="W205" s="498"/>
      <c r="X205" s="451" t="s">
        <v>534</v>
      </c>
      <c r="Y205" s="452" t="s">
        <v>63</v>
      </c>
      <c r="Z205" s="453" t="s">
        <v>7</v>
      </c>
      <c r="AA205" s="453" t="s">
        <v>36</v>
      </c>
      <c r="AB205" s="544" t="s">
        <v>535</v>
      </c>
      <c r="AC205" s="454"/>
      <c r="AD205" s="672">
        <f>AD206</f>
        <v>10</v>
      </c>
      <c r="AE205" s="634">
        <f t="shared" si="53"/>
        <v>0</v>
      </c>
      <c r="AF205" s="645">
        <f t="shared" si="53"/>
        <v>0</v>
      </c>
      <c r="AG205" s="506"/>
      <c r="AH205" s="506"/>
      <c r="AI205" s="502"/>
    </row>
    <row r="206" spans="1:37" s="500" customFormat="1" ht="78.75" x14ac:dyDescent="0.25">
      <c r="A206" s="491"/>
      <c r="B206" s="493"/>
      <c r="C206" s="494"/>
      <c r="D206" s="494"/>
      <c r="E206" s="495"/>
      <c r="F206" s="104"/>
      <c r="G206" s="496"/>
      <c r="H206" s="105"/>
      <c r="I206" s="49"/>
      <c r="J206" s="49"/>
      <c r="K206" s="49"/>
      <c r="L206" s="496"/>
      <c r="M206" s="49"/>
      <c r="N206" s="496"/>
      <c r="O206" s="82"/>
      <c r="P206" s="496"/>
      <c r="Q206" s="497"/>
      <c r="R206" s="498"/>
      <c r="S206" s="498"/>
      <c r="T206" s="498"/>
      <c r="U206" s="498"/>
      <c r="V206" s="498"/>
      <c r="W206" s="498"/>
      <c r="X206" s="451" t="s">
        <v>406</v>
      </c>
      <c r="Y206" s="452" t="s">
        <v>63</v>
      </c>
      <c r="Z206" s="453" t="s">
        <v>7</v>
      </c>
      <c r="AA206" s="453" t="s">
        <v>36</v>
      </c>
      <c r="AB206" s="542" t="s">
        <v>536</v>
      </c>
      <c r="AC206" s="454"/>
      <c r="AD206" s="672">
        <f>AD207</f>
        <v>10</v>
      </c>
      <c r="AE206" s="634">
        <f t="shared" si="53"/>
        <v>0</v>
      </c>
      <c r="AF206" s="645">
        <f t="shared" si="53"/>
        <v>0</v>
      </c>
      <c r="AG206" s="506"/>
      <c r="AH206" s="506"/>
      <c r="AI206" s="502"/>
    </row>
    <row r="207" spans="1:37" s="500" customFormat="1" x14ac:dyDescent="0.25">
      <c r="A207" s="491"/>
      <c r="B207" s="493"/>
      <c r="C207" s="494"/>
      <c r="D207" s="494"/>
      <c r="E207" s="495"/>
      <c r="F207" s="104"/>
      <c r="G207" s="496"/>
      <c r="H207" s="105"/>
      <c r="I207" s="49"/>
      <c r="J207" s="49"/>
      <c r="K207" s="49"/>
      <c r="L207" s="496"/>
      <c r="M207" s="49"/>
      <c r="N207" s="496"/>
      <c r="O207" s="82"/>
      <c r="P207" s="496"/>
      <c r="Q207" s="497"/>
      <c r="R207" s="498"/>
      <c r="S207" s="498"/>
      <c r="T207" s="498"/>
      <c r="U207" s="498"/>
      <c r="V207" s="498"/>
      <c r="W207" s="498"/>
      <c r="X207" s="451" t="s">
        <v>120</v>
      </c>
      <c r="Y207" s="452" t="s">
        <v>63</v>
      </c>
      <c r="Z207" s="453" t="s">
        <v>7</v>
      </c>
      <c r="AA207" s="453" t="s">
        <v>36</v>
      </c>
      <c r="AB207" s="542" t="s">
        <v>536</v>
      </c>
      <c r="AC207" s="454">
        <v>200</v>
      </c>
      <c r="AD207" s="672">
        <f>AD208</f>
        <v>10</v>
      </c>
      <c r="AE207" s="634">
        <f t="shared" si="53"/>
        <v>0</v>
      </c>
      <c r="AF207" s="645">
        <f t="shared" si="53"/>
        <v>0</v>
      </c>
      <c r="AG207" s="506"/>
      <c r="AH207" s="506"/>
      <c r="AI207" s="502"/>
    </row>
    <row r="208" spans="1:37" s="500" customFormat="1" ht="31.5" x14ac:dyDescent="0.25">
      <c r="A208" s="491"/>
      <c r="B208" s="493"/>
      <c r="C208" s="494"/>
      <c r="D208" s="494"/>
      <c r="E208" s="495"/>
      <c r="F208" s="104"/>
      <c r="G208" s="496"/>
      <c r="H208" s="105"/>
      <c r="I208" s="49"/>
      <c r="J208" s="49"/>
      <c r="K208" s="49"/>
      <c r="L208" s="496"/>
      <c r="M208" s="49"/>
      <c r="N208" s="496"/>
      <c r="O208" s="82"/>
      <c r="P208" s="496"/>
      <c r="Q208" s="497"/>
      <c r="R208" s="498"/>
      <c r="S208" s="498"/>
      <c r="T208" s="498"/>
      <c r="U208" s="498"/>
      <c r="V208" s="498"/>
      <c r="W208" s="498"/>
      <c r="X208" s="451" t="s">
        <v>52</v>
      </c>
      <c r="Y208" s="452" t="s">
        <v>63</v>
      </c>
      <c r="Z208" s="453" t="s">
        <v>7</v>
      </c>
      <c r="AA208" s="453" t="s">
        <v>36</v>
      </c>
      <c r="AB208" s="542" t="s">
        <v>536</v>
      </c>
      <c r="AC208" s="454">
        <v>240</v>
      </c>
      <c r="AD208" s="672">
        <v>10</v>
      </c>
      <c r="AE208" s="634">
        <v>0</v>
      </c>
      <c r="AF208" s="645">
        <v>0</v>
      </c>
      <c r="AG208" s="506"/>
      <c r="AH208" s="506"/>
      <c r="AI208" s="502"/>
    </row>
    <row r="209" spans="1:35" s="103" customFormat="1" ht="31.5" x14ac:dyDescent="0.25">
      <c r="A209" s="47"/>
      <c r="B209" s="78"/>
      <c r="C209" s="79"/>
      <c r="D209" s="79"/>
      <c r="E209" s="80"/>
      <c r="F209" s="104"/>
      <c r="G209" s="81"/>
      <c r="H209" s="81"/>
      <c r="I209" s="81"/>
      <c r="J209" s="81"/>
      <c r="K209" s="73"/>
      <c r="L209" s="81"/>
      <c r="M209" s="73"/>
      <c r="N209" s="81"/>
      <c r="O209" s="81"/>
      <c r="P209" s="83"/>
      <c r="Q209" s="87"/>
      <c r="R209" s="87"/>
      <c r="S209" s="87"/>
      <c r="T209" s="87"/>
      <c r="U209" s="87"/>
      <c r="V209" s="87"/>
      <c r="W209" s="87"/>
      <c r="X209" s="451" t="s">
        <v>151</v>
      </c>
      <c r="Y209" s="452" t="s">
        <v>63</v>
      </c>
      <c r="Z209" s="453" t="s">
        <v>7</v>
      </c>
      <c r="AA209" s="453">
        <v>14</v>
      </c>
      <c r="AB209" s="541"/>
      <c r="AC209" s="473"/>
      <c r="AD209" s="672">
        <f>AD210+AD220</f>
        <v>21343.8</v>
      </c>
      <c r="AE209" s="634">
        <f t="shared" ref="AD209:AF210" si="54">AE210</f>
        <v>12118.8</v>
      </c>
      <c r="AF209" s="645">
        <f t="shared" si="54"/>
        <v>10049.199999999999</v>
      </c>
      <c r="AG209" s="180"/>
      <c r="AH209" s="180"/>
      <c r="AI209" s="147"/>
    </row>
    <row r="210" spans="1:35" s="103" customFormat="1" ht="31.5" x14ac:dyDescent="0.25">
      <c r="A210" s="47"/>
      <c r="B210" s="78"/>
      <c r="C210" s="79"/>
      <c r="D210" s="79"/>
      <c r="E210" s="80"/>
      <c r="F210" s="104"/>
      <c r="G210" s="81"/>
      <c r="H210" s="49"/>
      <c r="I210" s="49"/>
      <c r="J210" s="49"/>
      <c r="K210" s="81"/>
      <c r="L210" s="49"/>
      <c r="M210" s="81"/>
      <c r="N210" s="82"/>
      <c r="O210" s="81"/>
      <c r="P210" s="83"/>
      <c r="Q210" s="87"/>
      <c r="R210" s="87"/>
      <c r="S210" s="87"/>
      <c r="T210" s="87"/>
      <c r="U210" s="87"/>
      <c r="V210" s="87"/>
      <c r="W210" s="87"/>
      <c r="X210" s="457" t="s">
        <v>161</v>
      </c>
      <c r="Y210" s="452" t="s">
        <v>63</v>
      </c>
      <c r="Z210" s="453" t="s">
        <v>7</v>
      </c>
      <c r="AA210" s="453">
        <v>14</v>
      </c>
      <c r="AB210" s="541" t="s">
        <v>102</v>
      </c>
      <c r="AC210" s="473"/>
      <c r="AD210" s="672">
        <f t="shared" si="54"/>
        <v>19343.8</v>
      </c>
      <c r="AE210" s="634">
        <f t="shared" si="54"/>
        <v>12118.8</v>
      </c>
      <c r="AF210" s="645">
        <f t="shared" si="54"/>
        <v>10049.199999999999</v>
      </c>
      <c r="AG210" s="180"/>
      <c r="AH210" s="180"/>
      <c r="AI210" s="147"/>
    </row>
    <row r="211" spans="1:35" s="103" customFormat="1" x14ac:dyDescent="0.25">
      <c r="A211" s="47"/>
      <c r="B211" s="78"/>
      <c r="C211" s="79"/>
      <c r="D211" s="79"/>
      <c r="E211" s="80"/>
      <c r="F211" s="104"/>
      <c r="G211" s="81"/>
      <c r="H211" s="49"/>
      <c r="I211" s="49"/>
      <c r="J211" s="49"/>
      <c r="K211" s="81"/>
      <c r="L211" s="49"/>
      <c r="M211" s="81"/>
      <c r="N211" s="82"/>
      <c r="O211" s="81"/>
      <c r="P211" s="83"/>
      <c r="Q211" s="87"/>
      <c r="R211" s="87"/>
      <c r="S211" s="87"/>
      <c r="T211" s="87"/>
      <c r="U211" s="87"/>
      <c r="V211" s="87"/>
      <c r="W211" s="87"/>
      <c r="X211" s="457" t="s">
        <v>162</v>
      </c>
      <c r="Y211" s="452" t="s">
        <v>63</v>
      </c>
      <c r="Z211" s="453" t="s">
        <v>7</v>
      </c>
      <c r="AA211" s="453">
        <v>14</v>
      </c>
      <c r="AB211" s="541" t="s">
        <v>106</v>
      </c>
      <c r="AC211" s="473"/>
      <c r="AD211" s="672">
        <f>AD212+AD216</f>
        <v>19343.8</v>
      </c>
      <c r="AE211" s="634">
        <f>AE212+AE216</f>
        <v>12118.8</v>
      </c>
      <c r="AF211" s="645">
        <f>AF212+AF216</f>
        <v>10049.199999999999</v>
      </c>
      <c r="AG211" s="180"/>
      <c r="AH211" s="180"/>
      <c r="AI211" s="147"/>
    </row>
    <row r="212" spans="1:35" s="103" customFormat="1" ht="31.5" x14ac:dyDescent="0.25">
      <c r="A212" s="47"/>
      <c r="B212" s="78"/>
      <c r="C212" s="79"/>
      <c r="D212" s="79"/>
      <c r="E212" s="80"/>
      <c r="F212" s="104"/>
      <c r="G212" s="81"/>
      <c r="H212" s="49"/>
      <c r="I212" s="49"/>
      <c r="J212" s="49"/>
      <c r="K212" s="81"/>
      <c r="L212" s="49"/>
      <c r="M212" s="81"/>
      <c r="N212" s="82"/>
      <c r="O212" s="81"/>
      <c r="P212" s="83"/>
      <c r="Q212" s="87"/>
      <c r="R212" s="87"/>
      <c r="S212" s="87"/>
      <c r="T212" s="87"/>
      <c r="U212" s="87"/>
      <c r="V212" s="87"/>
      <c r="W212" s="87"/>
      <c r="X212" s="466" t="s">
        <v>163</v>
      </c>
      <c r="Y212" s="452" t="s">
        <v>63</v>
      </c>
      <c r="Z212" s="453" t="s">
        <v>7</v>
      </c>
      <c r="AA212" s="453">
        <v>14</v>
      </c>
      <c r="AB212" s="542" t="s">
        <v>123</v>
      </c>
      <c r="AC212" s="482"/>
      <c r="AD212" s="672">
        <f>AD213</f>
        <v>864.8</v>
      </c>
      <c r="AE212" s="634">
        <f t="shared" ref="AD212:AF214" si="55">AE213</f>
        <v>64.8</v>
      </c>
      <c r="AF212" s="645">
        <f t="shared" si="55"/>
        <v>64.8</v>
      </c>
      <c r="AG212" s="180"/>
      <c r="AH212" s="180"/>
      <c r="AI212" s="147"/>
    </row>
    <row r="213" spans="1:35" s="103" customFormat="1" ht="31.5" x14ac:dyDescent="0.25">
      <c r="A213" s="47"/>
      <c r="B213" s="78"/>
      <c r="C213" s="79"/>
      <c r="D213" s="79"/>
      <c r="E213" s="80"/>
      <c r="F213" s="104"/>
      <c r="G213" s="81"/>
      <c r="H213" s="49"/>
      <c r="I213" s="49"/>
      <c r="J213" s="49"/>
      <c r="K213" s="81"/>
      <c r="L213" s="49"/>
      <c r="M213" s="81"/>
      <c r="N213" s="82"/>
      <c r="O213" s="81"/>
      <c r="P213" s="83"/>
      <c r="Q213" s="87"/>
      <c r="R213" s="87"/>
      <c r="S213" s="87"/>
      <c r="T213" s="87"/>
      <c r="U213" s="87"/>
      <c r="V213" s="87"/>
      <c r="W213" s="87"/>
      <c r="X213" s="466" t="s">
        <v>164</v>
      </c>
      <c r="Y213" s="452" t="s">
        <v>63</v>
      </c>
      <c r="Z213" s="453" t="s">
        <v>7</v>
      </c>
      <c r="AA213" s="453">
        <v>14</v>
      </c>
      <c r="AB213" s="542" t="s">
        <v>165</v>
      </c>
      <c r="AC213" s="482"/>
      <c r="AD213" s="672">
        <f>AD214</f>
        <v>864.8</v>
      </c>
      <c r="AE213" s="634">
        <f t="shared" si="55"/>
        <v>64.8</v>
      </c>
      <c r="AF213" s="645">
        <f t="shared" si="55"/>
        <v>64.8</v>
      </c>
      <c r="AG213" s="180"/>
      <c r="AH213" s="180"/>
      <c r="AI213" s="147"/>
    </row>
    <row r="214" spans="1:35" s="103" customFormat="1" ht="31.5" x14ac:dyDescent="0.25">
      <c r="A214" s="47"/>
      <c r="B214" s="78"/>
      <c r="C214" s="79"/>
      <c r="D214" s="79"/>
      <c r="E214" s="80"/>
      <c r="F214" s="104"/>
      <c r="G214" s="81"/>
      <c r="H214" s="49"/>
      <c r="I214" s="49"/>
      <c r="J214" s="49"/>
      <c r="K214" s="81"/>
      <c r="L214" s="49"/>
      <c r="M214" s="81"/>
      <c r="N214" s="82"/>
      <c r="O214" s="81"/>
      <c r="P214" s="83"/>
      <c r="Q214" s="87"/>
      <c r="R214" s="87"/>
      <c r="S214" s="87"/>
      <c r="T214" s="87"/>
      <c r="U214" s="87"/>
      <c r="V214" s="87"/>
      <c r="W214" s="87"/>
      <c r="X214" s="654" t="s">
        <v>60</v>
      </c>
      <c r="Y214" s="452" t="s">
        <v>63</v>
      </c>
      <c r="Z214" s="453" t="s">
        <v>7</v>
      </c>
      <c r="AA214" s="453">
        <v>14</v>
      </c>
      <c r="AB214" s="542" t="s">
        <v>165</v>
      </c>
      <c r="AC214" s="454">
        <v>600</v>
      </c>
      <c r="AD214" s="672">
        <f t="shared" si="55"/>
        <v>864.8</v>
      </c>
      <c r="AE214" s="634">
        <f t="shared" si="55"/>
        <v>64.8</v>
      </c>
      <c r="AF214" s="645">
        <f t="shared" si="55"/>
        <v>64.8</v>
      </c>
      <c r="AG214" s="180"/>
      <c r="AH214" s="180"/>
      <c r="AI214" s="147"/>
    </row>
    <row r="215" spans="1:35" s="103" customFormat="1" ht="47.25" x14ac:dyDescent="0.25">
      <c r="A215" s="47"/>
      <c r="B215" s="78"/>
      <c r="C215" s="79"/>
      <c r="D215" s="79"/>
      <c r="E215" s="80"/>
      <c r="F215" s="104"/>
      <c r="G215" s="81"/>
      <c r="H215" s="49"/>
      <c r="I215" s="49"/>
      <c r="J215" s="49"/>
      <c r="K215" s="81"/>
      <c r="L215" s="49"/>
      <c r="M215" s="81"/>
      <c r="N215" s="82"/>
      <c r="O215" s="81"/>
      <c r="P215" s="83"/>
      <c r="Q215" s="87"/>
      <c r="R215" s="87"/>
      <c r="S215" s="87"/>
      <c r="T215" s="87"/>
      <c r="U215" s="87"/>
      <c r="V215" s="87"/>
      <c r="W215" s="87"/>
      <c r="X215" s="654" t="s">
        <v>364</v>
      </c>
      <c r="Y215" s="452" t="s">
        <v>63</v>
      </c>
      <c r="Z215" s="453" t="s">
        <v>7</v>
      </c>
      <c r="AA215" s="453">
        <v>14</v>
      </c>
      <c r="AB215" s="542" t="s">
        <v>165</v>
      </c>
      <c r="AC215" s="454">
        <v>630</v>
      </c>
      <c r="AD215" s="672">
        <v>864.8</v>
      </c>
      <c r="AE215" s="634">
        <v>64.8</v>
      </c>
      <c r="AF215" s="645">
        <v>64.8</v>
      </c>
      <c r="AG215" s="180"/>
      <c r="AH215" s="180"/>
      <c r="AI215" s="147"/>
    </row>
    <row r="216" spans="1:35" s="103" customFormat="1" ht="47.25" x14ac:dyDescent="0.25">
      <c r="A216" s="88"/>
      <c r="B216" s="78"/>
      <c r="C216" s="79"/>
      <c r="D216" s="79"/>
      <c r="E216" s="80"/>
      <c r="F216" s="79"/>
      <c r="G216" s="81"/>
      <c r="H216" s="49"/>
      <c r="I216" s="49"/>
      <c r="J216" s="49"/>
      <c r="K216" s="73"/>
      <c r="L216" s="49"/>
      <c r="M216" s="73"/>
      <c r="N216" s="82"/>
      <c r="O216" s="81"/>
      <c r="P216" s="83"/>
      <c r="Q216" s="87"/>
      <c r="R216" s="87"/>
      <c r="S216" s="87"/>
      <c r="T216" s="87"/>
      <c r="U216" s="87"/>
      <c r="V216" s="87"/>
      <c r="W216" s="105"/>
      <c r="X216" s="466" t="s">
        <v>167</v>
      </c>
      <c r="Y216" s="452" t="s">
        <v>63</v>
      </c>
      <c r="Z216" s="453" t="s">
        <v>7</v>
      </c>
      <c r="AA216" s="453" t="s">
        <v>44</v>
      </c>
      <c r="AB216" s="542" t="s">
        <v>168</v>
      </c>
      <c r="AC216" s="454"/>
      <c r="AD216" s="672">
        <f t="shared" ref="AD216:AF217" si="56">AD217</f>
        <v>18479</v>
      </c>
      <c r="AE216" s="634">
        <f t="shared" si="56"/>
        <v>12054</v>
      </c>
      <c r="AF216" s="645">
        <f t="shared" si="56"/>
        <v>9984.4</v>
      </c>
      <c r="AG216" s="180"/>
      <c r="AH216" s="180"/>
      <c r="AI216" s="147"/>
    </row>
    <row r="217" spans="1:35" s="103" customFormat="1" x14ac:dyDescent="0.25">
      <c r="A217" s="88"/>
      <c r="B217" s="78"/>
      <c r="C217" s="79"/>
      <c r="D217" s="79"/>
      <c r="E217" s="80"/>
      <c r="F217" s="79"/>
      <c r="G217" s="81"/>
      <c r="H217" s="49"/>
      <c r="I217" s="49"/>
      <c r="J217" s="49"/>
      <c r="K217" s="73"/>
      <c r="L217" s="49"/>
      <c r="M217" s="73"/>
      <c r="N217" s="82"/>
      <c r="O217" s="81"/>
      <c r="P217" s="83"/>
      <c r="Q217" s="87"/>
      <c r="R217" s="87"/>
      <c r="S217" s="87"/>
      <c r="T217" s="87"/>
      <c r="U217" s="87"/>
      <c r="V217" s="87"/>
      <c r="W217" s="105"/>
      <c r="X217" s="457" t="s">
        <v>169</v>
      </c>
      <c r="Y217" s="452" t="s">
        <v>63</v>
      </c>
      <c r="Z217" s="453" t="s">
        <v>7</v>
      </c>
      <c r="AA217" s="453" t="s">
        <v>44</v>
      </c>
      <c r="AB217" s="542" t="s">
        <v>170</v>
      </c>
      <c r="AC217" s="454"/>
      <c r="AD217" s="672">
        <f t="shared" si="56"/>
        <v>18479</v>
      </c>
      <c r="AE217" s="634">
        <f t="shared" si="56"/>
        <v>12054</v>
      </c>
      <c r="AF217" s="645">
        <f t="shared" si="56"/>
        <v>9984.4</v>
      </c>
      <c r="AG217" s="180"/>
      <c r="AH217" s="180"/>
      <c r="AI217" s="147"/>
    </row>
    <row r="218" spans="1:35" x14ac:dyDescent="0.25">
      <c r="A218" s="90"/>
      <c r="B218" s="78"/>
      <c r="C218" s="79"/>
      <c r="D218" s="79"/>
      <c r="E218" s="80"/>
      <c r="F218" s="106"/>
      <c r="G218" s="81"/>
      <c r="H218" s="91"/>
      <c r="I218" s="91"/>
      <c r="J218" s="91"/>
      <c r="K218" s="73"/>
      <c r="L218" s="91"/>
      <c r="M218" s="73"/>
      <c r="N218" s="82"/>
      <c r="O218" s="41"/>
      <c r="P218" s="83"/>
      <c r="Q218" s="84"/>
      <c r="R218" s="84"/>
      <c r="S218" s="87"/>
      <c r="T218" s="87"/>
      <c r="U218" s="87"/>
      <c r="V218" s="87"/>
      <c r="X218" s="451" t="s">
        <v>120</v>
      </c>
      <c r="Y218" s="452" t="s">
        <v>63</v>
      </c>
      <c r="Z218" s="453" t="s">
        <v>7</v>
      </c>
      <c r="AA218" s="453" t="s">
        <v>44</v>
      </c>
      <c r="AB218" s="542" t="s">
        <v>170</v>
      </c>
      <c r="AC218" s="454">
        <v>200</v>
      </c>
      <c r="AD218" s="672">
        <f>AD219</f>
        <v>18479</v>
      </c>
      <c r="AE218" s="634">
        <f>AE219</f>
        <v>12054</v>
      </c>
      <c r="AF218" s="645">
        <f>AF219</f>
        <v>9984.4</v>
      </c>
      <c r="AG218" s="180"/>
      <c r="AH218" s="180"/>
      <c r="AI218" s="147"/>
    </row>
    <row r="219" spans="1:35" ht="31.5" x14ac:dyDescent="0.25">
      <c r="A219" s="90"/>
      <c r="B219" s="78"/>
      <c r="C219" s="79"/>
      <c r="D219" s="79"/>
      <c r="E219" s="80"/>
      <c r="F219" s="106"/>
      <c r="G219" s="81"/>
      <c r="H219" s="91"/>
      <c r="I219" s="91"/>
      <c r="J219" s="91"/>
      <c r="K219" s="73"/>
      <c r="L219" s="91"/>
      <c r="M219" s="73"/>
      <c r="N219" s="82"/>
      <c r="O219" s="41"/>
      <c r="P219" s="83"/>
      <c r="Q219" s="84"/>
      <c r="R219" s="84"/>
      <c r="S219" s="87"/>
      <c r="T219" s="87"/>
      <c r="U219" s="87"/>
      <c r="V219" s="87"/>
      <c r="X219" s="451" t="s">
        <v>52</v>
      </c>
      <c r="Y219" s="452" t="s">
        <v>63</v>
      </c>
      <c r="Z219" s="453" t="s">
        <v>7</v>
      </c>
      <c r="AA219" s="453" t="s">
        <v>44</v>
      </c>
      <c r="AB219" s="542" t="s">
        <v>170</v>
      </c>
      <c r="AC219" s="454">
        <v>240</v>
      </c>
      <c r="AD219" s="674">
        <f>16834+1645</f>
        <v>18479</v>
      </c>
      <c r="AE219" s="636">
        <v>12054</v>
      </c>
      <c r="AF219" s="646">
        <v>9984.4</v>
      </c>
      <c r="AG219" s="206"/>
      <c r="AH219" s="206"/>
      <c r="AI219" s="147"/>
    </row>
    <row r="220" spans="1:35" x14ac:dyDescent="0.25">
      <c r="A220" s="90"/>
      <c r="B220" s="493"/>
      <c r="C220" s="494"/>
      <c r="D220" s="494"/>
      <c r="E220" s="495"/>
      <c r="F220" s="106"/>
      <c r="G220" s="496"/>
      <c r="H220" s="91"/>
      <c r="I220" s="91"/>
      <c r="J220" s="91"/>
      <c r="K220" s="492"/>
      <c r="L220" s="91"/>
      <c r="M220" s="492"/>
      <c r="N220" s="82"/>
      <c r="O220" s="41"/>
      <c r="P220" s="497"/>
      <c r="Q220" s="84"/>
      <c r="R220" s="84"/>
      <c r="S220" s="498"/>
      <c r="T220" s="498"/>
      <c r="U220" s="498"/>
      <c r="V220" s="498"/>
      <c r="X220" s="273" t="s">
        <v>332</v>
      </c>
      <c r="Y220" s="452" t="s">
        <v>63</v>
      </c>
      <c r="Z220" s="453" t="s">
        <v>7</v>
      </c>
      <c r="AA220" s="453" t="s">
        <v>44</v>
      </c>
      <c r="AB220" s="282" t="s">
        <v>137</v>
      </c>
      <c r="AC220" s="454"/>
      <c r="AD220" s="674">
        <f>AD221</f>
        <v>2000</v>
      </c>
      <c r="AE220" s="674">
        <f t="shared" ref="AE220:AF220" si="57">AE221</f>
        <v>0</v>
      </c>
      <c r="AF220" s="674">
        <f t="shared" si="57"/>
        <v>0</v>
      </c>
      <c r="AG220" s="206"/>
      <c r="AH220" s="206"/>
      <c r="AI220" s="502"/>
    </row>
    <row r="221" spans="1:35" x14ac:dyDescent="0.25">
      <c r="A221" s="90"/>
      <c r="B221" s="493"/>
      <c r="C221" s="494"/>
      <c r="D221" s="494"/>
      <c r="E221" s="495"/>
      <c r="F221" s="106"/>
      <c r="G221" s="496"/>
      <c r="H221" s="91"/>
      <c r="I221" s="91"/>
      <c r="J221" s="91"/>
      <c r="K221" s="492"/>
      <c r="L221" s="91"/>
      <c r="M221" s="492"/>
      <c r="N221" s="82"/>
      <c r="O221" s="41"/>
      <c r="P221" s="497"/>
      <c r="Q221" s="84"/>
      <c r="R221" s="84"/>
      <c r="S221" s="498"/>
      <c r="T221" s="498"/>
      <c r="U221" s="498"/>
      <c r="V221" s="498"/>
      <c r="X221" s="451" t="s">
        <v>427</v>
      </c>
      <c r="Y221" s="452" t="s">
        <v>63</v>
      </c>
      <c r="Z221" s="453" t="s">
        <v>7</v>
      </c>
      <c r="AA221" s="453" t="s">
        <v>44</v>
      </c>
      <c r="AB221" s="700" t="s">
        <v>428</v>
      </c>
      <c r="AC221" s="454"/>
      <c r="AD221" s="674">
        <f>AD222</f>
        <v>2000</v>
      </c>
      <c r="AE221" s="674">
        <f t="shared" ref="AE221:AF221" si="58">AE222</f>
        <v>0</v>
      </c>
      <c r="AF221" s="674">
        <f t="shared" si="58"/>
        <v>0</v>
      </c>
      <c r="AG221" s="206"/>
      <c r="AH221" s="206"/>
      <c r="AI221" s="502"/>
    </row>
    <row r="222" spans="1:35" ht="33.75" customHeight="1" x14ac:dyDescent="0.25">
      <c r="A222" s="90"/>
      <c r="B222" s="493"/>
      <c r="C222" s="494"/>
      <c r="D222" s="494"/>
      <c r="E222" s="495"/>
      <c r="F222" s="106"/>
      <c r="G222" s="496"/>
      <c r="H222" s="91"/>
      <c r="I222" s="91"/>
      <c r="J222" s="91"/>
      <c r="K222" s="492"/>
      <c r="L222" s="91"/>
      <c r="M222" s="492"/>
      <c r="N222" s="82"/>
      <c r="O222" s="41"/>
      <c r="P222" s="497"/>
      <c r="Q222" s="84"/>
      <c r="R222" s="84"/>
      <c r="S222" s="498"/>
      <c r="T222" s="498"/>
      <c r="U222" s="498"/>
      <c r="V222" s="498"/>
      <c r="X222" s="451" t="s">
        <v>826</v>
      </c>
      <c r="Y222" s="452" t="s">
        <v>63</v>
      </c>
      <c r="Z222" s="453" t="s">
        <v>7</v>
      </c>
      <c r="AA222" s="453" t="s">
        <v>44</v>
      </c>
      <c r="AB222" s="700" t="s">
        <v>819</v>
      </c>
      <c r="AC222" s="454"/>
      <c r="AD222" s="674">
        <f>AD223</f>
        <v>2000</v>
      </c>
      <c r="AE222" s="674">
        <f t="shared" ref="AE222:AF222" si="59">AE223</f>
        <v>0</v>
      </c>
      <c r="AF222" s="674">
        <f t="shared" si="59"/>
        <v>0</v>
      </c>
      <c r="AG222" s="206"/>
      <c r="AH222" s="206"/>
      <c r="AI222" s="502"/>
    </row>
    <row r="223" spans="1:35" x14ac:dyDescent="0.25">
      <c r="A223" s="90"/>
      <c r="B223" s="493"/>
      <c r="C223" s="494"/>
      <c r="D223" s="494"/>
      <c r="E223" s="495"/>
      <c r="F223" s="106"/>
      <c r="G223" s="496"/>
      <c r="H223" s="91"/>
      <c r="I223" s="91"/>
      <c r="J223" s="91"/>
      <c r="K223" s="492"/>
      <c r="L223" s="91"/>
      <c r="M223" s="492"/>
      <c r="N223" s="82"/>
      <c r="O223" s="41"/>
      <c r="P223" s="497"/>
      <c r="Q223" s="84"/>
      <c r="R223" s="84"/>
      <c r="S223" s="498"/>
      <c r="T223" s="498"/>
      <c r="U223" s="498"/>
      <c r="V223" s="498"/>
      <c r="X223" s="451" t="s">
        <v>97</v>
      </c>
      <c r="Y223" s="452" t="s">
        <v>63</v>
      </c>
      <c r="Z223" s="453" t="s">
        <v>7</v>
      </c>
      <c r="AA223" s="453" t="s">
        <v>44</v>
      </c>
      <c r="AB223" s="700" t="s">
        <v>819</v>
      </c>
      <c r="AC223" s="454">
        <v>300</v>
      </c>
      <c r="AD223" s="674">
        <f>AD224</f>
        <v>2000</v>
      </c>
      <c r="AE223" s="674">
        <f t="shared" ref="AE223:AF223" si="60">AE224</f>
        <v>0</v>
      </c>
      <c r="AF223" s="674">
        <f t="shared" si="60"/>
        <v>0</v>
      </c>
      <c r="AG223" s="206"/>
      <c r="AH223" s="206"/>
      <c r="AI223" s="502"/>
    </row>
    <row r="224" spans="1:35" x14ac:dyDescent="0.25">
      <c r="A224" s="90"/>
      <c r="B224" s="493"/>
      <c r="C224" s="494"/>
      <c r="D224" s="494"/>
      <c r="E224" s="495"/>
      <c r="F224" s="106"/>
      <c r="G224" s="496"/>
      <c r="H224" s="91"/>
      <c r="I224" s="91"/>
      <c r="J224" s="91"/>
      <c r="K224" s="492"/>
      <c r="L224" s="91"/>
      <c r="M224" s="492"/>
      <c r="N224" s="82"/>
      <c r="O224" s="41"/>
      <c r="P224" s="497"/>
      <c r="Q224" s="84"/>
      <c r="R224" s="84"/>
      <c r="S224" s="498"/>
      <c r="T224" s="498"/>
      <c r="U224" s="498"/>
      <c r="V224" s="498"/>
      <c r="X224" s="451" t="s">
        <v>40</v>
      </c>
      <c r="Y224" s="452" t="s">
        <v>63</v>
      </c>
      <c r="Z224" s="453" t="s">
        <v>7</v>
      </c>
      <c r="AA224" s="453" t="s">
        <v>44</v>
      </c>
      <c r="AB224" s="700" t="s">
        <v>819</v>
      </c>
      <c r="AC224" s="454">
        <v>320</v>
      </c>
      <c r="AD224" s="674">
        <v>2000</v>
      </c>
      <c r="AE224" s="636">
        <v>0</v>
      </c>
      <c r="AF224" s="646">
        <v>0</v>
      </c>
      <c r="AG224" s="206"/>
      <c r="AH224" s="206"/>
      <c r="AI224" s="502"/>
    </row>
    <row r="225" spans="1:35" s="77" customFormat="1" x14ac:dyDescent="0.25">
      <c r="A225" s="68"/>
      <c r="B225" s="69"/>
      <c r="C225" s="71"/>
      <c r="D225" s="71"/>
      <c r="E225" s="72"/>
      <c r="F225" s="72"/>
      <c r="G225" s="73"/>
      <c r="H225" s="73"/>
      <c r="I225" s="73"/>
      <c r="J225" s="73"/>
      <c r="K225" s="73"/>
      <c r="L225" s="73"/>
      <c r="M225" s="73"/>
      <c r="N225" s="73"/>
      <c r="O225" s="107"/>
      <c r="P225" s="73"/>
      <c r="Q225" s="75"/>
      <c r="R225" s="95"/>
      <c r="S225" s="95"/>
      <c r="T225" s="95"/>
      <c r="U225" s="95"/>
      <c r="V225" s="95"/>
      <c r="W225" s="95"/>
      <c r="X225" s="653" t="s">
        <v>45</v>
      </c>
      <c r="Y225" s="448" t="s">
        <v>63</v>
      </c>
      <c r="Z225" s="471" t="s">
        <v>49</v>
      </c>
      <c r="AA225" s="471"/>
      <c r="AB225" s="539"/>
      <c r="AC225" s="476"/>
      <c r="AD225" s="671">
        <f>AD226+AD263+AI2058+AD241+AD248</f>
        <v>92290.4</v>
      </c>
      <c r="AE225" s="633">
        <f>AE226+AE263+AJ2058+AE241+AE248</f>
        <v>70083.7</v>
      </c>
      <c r="AF225" s="644">
        <f>AF226+AF263+AK2058+AF241+AF248</f>
        <v>68570.899999999994</v>
      </c>
      <c r="AG225" s="205"/>
      <c r="AH225" s="205"/>
      <c r="AI225" s="147"/>
    </row>
    <row r="226" spans="1:35" s="103" customFormat="1" x14ac:dyDescent="0.25">
      <c r="A226" s="47"/>
      <c r="B226" s="78"/>
      <c r="C226" s="79"/>
      <c r="D226" s="79"/>
      <c r="E226" s="80"/>
      <c r="F226" s="80"/>
      <c r="G226" s="81"/>
      <c r="H226" s="81"/>
      <c r="I226" s="81"/>
      <c r="J226" s="81"/>
      <c r="K226" s="81"/>
      <c r="L226" s="73"/>
      <c r="M226" s="81"/>
      <c r="N226" s="73"/>
      <c r="O226" s="82"/>
      <c r="P226" s="81"/>
      <c r="Q226" s="83"/>
      <c r="R226" s="87"/>
      <c r="S226" s="87"/>
      <c r="T226" s="87"/>
      <c r="U226" s="87"/>
      <c r="V226" s="87"/>
      <c r="W226" s="87"/>
      <c r="X226" s="451" t="s">
        <v>71</v>
      </c>
      <c r="Y226" s="452" t="s">
        <v>63</v>
      </c>
      <c r="Z226" s="453" t="s">
        <v>49</v>
      </c>
      <c r="AA226" s="453" t="s">
        <v>16</v>
      </c>
      <c r="AB226" s="541"/>
      <c r="AC226" s="482"/>
      <c r="AD226" s="672">
        <f>AD234+AD227</f>
        <v>34483.700000000004</v>
      </c>
      <c r="AE226" s="634">
        <f>AE234+AE227</f>
        <v>30338.7</v>
      </c>
      <c r="AF226" s="645">
        <f>AF234+AF227</f>
        <v>30337.899999999998</v>
      </c>
      <c r="AG226" s="180"/>
      <c r="AH226" s="180"/>
      <c r="AI226" s="147"/>
    </row>
    <row r="227" spans="1:35" s="103" customFormat="1" x14ac:dyDescent="0.25">
      <c r="A227" s="47"/>
      <c r="B227" s="78"/>
      <c r="C227" s="79"/>
      <c r="D227" s="79"/>
      <c r="E227" s="80"/>
      <c r="F227" s="80"/>
      <c r="G227" s="81"/>
      <c r="H227" s="81"/>
      <c r="I227" s="81"/>
      <c r="J227" s="81"/>
      <c r="K227" s="81"/>
      <c r="L227" s="73"/>
      <c r="M227" s="81"/>
      <c r="N227" s="73"/>
      <c r="O227" s="82"/>
      <c r="P227" s="81"/>
      <c r="Q227" s="83"/>
      <c r="R227" s="87"/>
      <c r="S227" s="87"/>
      <c r="T227" s="87"/>
      <c r="U227" s="87"/>
      <c r="V227" s="87"/>
      <c r="W227" s="87"/>
      <c r="X227" s="457" t="s">
        <v>186</v>
      </c>
      <c r="Y227" s="452" t="s">
        <v>63</v>
      </c>
      <c r="Z227" s="469" t="s">
        <v>49</v>
      </c>
      <c r="AA227" s="469" t="s">
        <v>16</v>
      </c>
      <c r="AB227" s="542" t="s">
        <v>112</v>
      </c>
      <c r="AC227" s="470"/>
      <c r="AD227" s="672">
        <f t="shared" ref="AD227:AF232" si="61">AD228</f>
        <v>34482.9</v>
      </c>
      <c r="AE227" s="634">
        <f t="shared" si="61"/>
        <v>30337.3</v>
      </c>
      <c r="AF227" s="645">
        <f t="shared" si="61"/>
        <v>30337.3</v>
      </c>
      <c r="AG227" s="180"/>
      <c r="AH227" s="180"/>
      <c r="AI227" s="147"/>
    </row>
    <row r="228" spans="1:35" s="103" customFormat="1" x14ac:dyDescent="0.25">
      <c r="A228" s="47"/>
      <c r="B228" s="78"/>
      <c r="C228" s="79"/>
      <c r="D228" s="79"/>
      <c r="E228" s="80"/>
      <c r="F228" s="80"/>
      <c r="G228" s="81"/>
      <c r="H228" s="81"/>
      <c r="I228" s="81"/>
      <c r="J228" s="81"/>
      <c r="K228" s="81"/>
      <c r="L228" s="73"/>
      <c r="M228" s="81"/>
      <c r="N228" s="73"/>
      <c r="O228" s="82"/>
      <c r="P228" s="81"/>
      <c r="Q228" s="83"/>
      <c r="R228" s="87"/>
      <c r="S228" s="87"/>
      <c r="T228" s="87"/>
      <c r="U228" s="87"/>
      <c r="V228" s="87"/>
      <c r="W228" s="87"/>
      <c r="X228" s="457" t="s">
        <v>189</v>
      </c>
      <c r="Y228" s="452" t="s">
        <v>63</v>
      </c>
      <c r="Z228" s="469" t="s">
        <v>49</v>
      </c>
      <c r="AA228" s="469" t="s">
        <v>16</v>
      </c>
      <c r="AB228" s="542" t="s">
        <v>190</v>
      </c>
      <c r="AC228" s="470"/>
      <c r="AD228" s="672">
        <f t="shared" si="61"/>
        <v>34482.9</v>
      </c>
      <c r="AE228" s="634">
        <f t="shared" si="61"/>
        <v>30337.3</v>
      </c>
      <c r="AF228" s="645">
        <f t="shared" si="61"/>
        <v>30337.3</v>
      </c>
      <c r="AG228" s="180"/>
      <c r="AH228" s="180"/>
      <c r="AI228" s="147"/>
    </row>
    <row r="229" spans="1:35" s="103" customFormat="1" ht="31.5" x14ac:dyDescent="0.25">
      <c r="A229" s="47"/>
      <c r="B229" s="78"/>
      <c r="C229" s="79"/>
      <c r="D229" s="79"/>
      <c r="E229" s="80"/>
      <c r="F229" s="80"/>
      <c r="G229" s="81"/>
      <c r="H229" s="81"/>
      <c r="I229" s="81"/>
      <c r="J229" s="81"/>
      <c r="K229" s="81"/>
      <c r="L229" s="73"/>
      <c r="M229" s="81"/>
      <c r="N229" s="73"/>
      <c r="O229" s="82"/>
      <c r="P229" s="81"/>
      <c r="Q229" s="83"/>
      <c r="R229" s="87"/>
      <c r="S229" s="87"/>
      <c r="T229" s="87"/>
      <c r="U229" s="87"/>
      <c r="V229" s="87"/>
      <c r="W229" s="87"/>
      <c r="X229" s="457" t="s">
        <v>191</v>
      </c>
      <c r="Y229" s="452" t="s">
        <v>63</v>
      </c>
      <c r="Z229" s="469" t="s">
        <v>49</v>
      </c>
      <c r="AA229" s="469" t="s">
        <v>16</v>
      </c>
      <c r="AB229" s="542" t="s">
        <v>192</v>
      </c>
      <c r="AC229" s="470"/>
      <c r="AD229" s="672">
        <f t="shared" si="61"/>
        <v>34482.9</v>
      </c>
      <c r="AE229" s="634">
        <f t="shared" si="61"/>
        <v>30337.3</v>
      </c>
      <c r="AF229" s="645">
        <f t="shared" si="61"/>
        <v>30337.3</v>
      </c>
      <c r="AG229" s="180"/>
      <c r="AH229" s="180"/>
      <c r="AI229" s="147"/>
    </row>
    <row r="230" spans="1:35" s="103" customFormat="1" ht="31.5" x14ac:dyDescent="0.25">
      <c r="A230" s="47"/>
      <c r="B230" s="78"/>
      <c r="C230" s="79"/>
      <c r="D230" s="79"/>
      <c r="E230" s="80"/>
      <c r="F230" s="80"/>
      <c r="G230" s="81"/>
      <c r="H230" s="81"/>
      <c r="I230" s="81"/>
      <c r="J230" s="81"/>
      <c r="K230" s="81"/>
      <c r="L230" s="73"/>
      <c r="M230" s="81"/>
      <c r="N230" s="73"/>
      <c r="O230" s="82"/>
      <c r="P230" s="81"/>
      <c r="Q230" s="83"/>
      <c r="R230" s="87"/>
      <c r="S230" s="87"/>
      <c r="T230" s="87"/>
      <c r="U230" s="87"/>
      <c r="V230" s="87"/>
      <c r="W230" s="87"/>
      <c r="X230" s="465" t="s">
        <v>203</v>
      </c>
      <c r="Y230" s="452" t="s">
        <v>63</v>
      </c>
      <c r="Z230" s="469" t="s">
        <v>49</v>
      </c>
      <c r="AA230" s="469" t="s">
        <v>16</v>
      </c>
      <c r="AB230" s="544" t="s">
        <v>204</v>
      </c>
      <c r="AC230" s="470"/>
      <c r="AD230" s="672">
        <f t="shared" si="61"/>
        <v>34482.9</v>
      </c>
      <c r="AE230" s="634">
        <f t="shared" si="61"/>
        <v>30337.3</v>
      </c>
      <c r="AF230" s="645">
        <f t="shared" si="61"/>
        <v>30337.3</v>
      </c>
      <c r="AG230" s="180"/>
      <c r="AH230" s="180"/>
      <c r="AI230" s="147"/>
    </row>
    <row r="231" spans="1:35" s="103" customFormat="1" ht="47.25" x14ac:dyDescent="0.25">
      <c r="A231" s="47"/>
      <c r="B231" s="78"/>
      <c r="C231" s="79"/>
      <c r="D231" s="79"/>
      <c r="E231" s="80"/>
      <c r="F231" s="80"/>
      <c r="G231" s="81"/>
      <c r="H231" s="81"/>
      <c r="I231" s="81"/>
      <c r="J231" s="81"/>
      <c r="K231" s="81"/>
      <c r="L231" s="73"/>
      <c r="M231" s="81"/>
      <c r="N231" s="73"/>
      <c r="O231" s="82"/>
      <c r="P231" s="81"/>
      <c r="Q231" s="83"/>
      <c r="R231" s="87"/>
      <c r="S231" s="87"/>
      <c r="T231" s="87"/>
      <c r="U231" s="87"/>
      <c r="V231" s="87"/>
      <c r="W231" s="87"/>
      <c r="X231" s="465" t="s">
        <v>369</v>
      </c>
      <c r="Y231" s="452" t="s">
        <v>63</v>
      </c>
      <c r="Z231" s="469" t="s">
        <v>49</v>
      </c>
      <c r="AA231" s="469" t="s">
        <v>16</v>
      </c>
      <c r="AB231" s="544" t="s">
        <v>316</v>
      </c>
      <c r="AC231" s="470"/>
      <c r="AD231" s="672">
        <f t="shared" si="61"/>
        <v>34482.9</v>
      </c>
      <c r="AE231" s="634">
        <f t="shared" si="61"/>
        <v>30337.3</v>
      </c>
      <c r="AF231" s="645">
        <f t="shared" si="61"/>
        <v>30337.3</v>
      </c>
      <c r="AG231" s="180"/>
      <c r="AH231" s="180"/>
      <c r="AI231" s="147"/>
    </row>
    <row r="232" spans="1:35" s="103" customFormat="1" ht="31.5" x14ac:dyDescent="0.25">
      <c r="A232" s="47"/>
      <c r="B232" s="78"/>
      <c r="C232" s="79"/>
      <c r="D232" s="79"/>
      <c r="E232" s="80"/>
      <c r="F232" s="80"/>
      <c r="G232" s="81"/>
      <c r="H232" s="81"/>
      <c r="I232" s="81"/>
      <c r="J232" s="81"/>
      <c r="K232" s="81"/>
      <c r="L232" s="73"/>
      <c r="M232" s="81"/>
      <c r="N232" s="73"/>
      <c r="O232" s="82"/>
      <c r="P232" s="81"/>
      <c r="Q232" s="83"/>
      <c r="R232" s="87"/>
      <c r="S232" s="87"/>
      <c r="T232" s="87"/>
      <c r="U232" s="87"/>
      <c r="V232" s="87"/>
      <c r="W232" s="87"/>
      <c r="X232" s="654" t="s">
        <v>60</v>
      </c>
      <c r="Y232" s="452" t="s">
        <v>63</v>
      </c>
      <c r="Z232" s="469" t="s">
        <v>49</v>
      </c>
      <c r="AA232" s="469" t="s">
        <v>16</v>
      </c>
      <c r="AB232" s="544" t="s">
        <v>316</v>
      </c>
      <c r="AC232" s="470">
        <v>600</v>
      </c>
      <c r="AD232" s="672">
        <f t="shared" si="61"/>
        <v>34482.9</v>
      </c>
      <c r="AE232" s="634">
        <f t="shared" si="61"/>
        <v>30337.3</v>
      </c>
      <c r="AF232" s="645">
        <f t="shared" si="61"/>
        <v>30337.3</v>
      </c>
      <c r="AG232" s="180"/>
      <c r="AH232" s="180"/>
      <c r="AI232" s="147"/>
    </row>
    <row r="233" spans="1:35" s="103" customFormat="1" x14ac:dyDescent="0.25">
      <c r="A233" s="47"/>
      <c r="B233" s="78"/>
      <c r="C233" s="79"/>
      <c r="D233" s="79"/>
      <c r="E233" s="80"/>
      <c r="F233" s="80"/>
      <c r="G233" s="81"/>
      <c r="H233" s="81"/>
      <c r="I233" s="81"/>
      <c r="J233" s="81"/>
      <c r="K233" s="81"/>
      <c r="L233" s="73"/>
      <c r="M233" s="81"/>
      <c r="N233" s="73"/>
      <c r="O233" s="82"/>
      <c r="P233" s="81"/>
      <c r="Q233" s="83"/>
      <c r="R233" s="87"/>
      <c r="S233" s="87"/>
      <c r="T233" s="87"/>
      <c r="U233" s="87"/>
      <c r="V233" s="87"/>
      <c r="W233" s="87"/>
      <c r="X233" s="654" t="s">
        <v>61</v>
      </c>
      <c r="Y233" s="452" t="s">
        <v>63</v>
      </c>
      <c r="Z233" s="469" t="s">
        <v>49</v>
      </c>
      <c r="AA233" s="469" t="s">
        <v>16</v>
      </c>
      <c r="AB233" s="544" t="s">
        <v>316</v>
      </c>
      <c r="AC233" s="470">
        <v>610</v>
      </c>
      <c r="AD233" s="672">
        <f>33882.9+600</f>
        <v>34482.9</v>
      </c>
      <c r="AE233" s="634">
        <v>30337.3</v>
      </c>
      <c r="AF233" s="645">
        <v>30337.3</v>
      </c>
      <c r="AG233" s="180"/>
      <c r="AH233" s="180"/>
      <c r="AI233" s="147"/>
    </row>
    <row r="234" spans="1:35" s="103" customFormat="1" ht="31.5" x14ac:dyDescent="0.25">
      <c r="A234" s="47"/>
      <c r="B234" s="78"/>
      <c r="C234" s="79"/>
      <c r="D234" s="79"/>
      <c r="E234" s="80"/>
      <c r="F234" s="80"/>
      <c r="G234" s="81"/>
      <c r="H234" s="81"/>
      <c r="I234" s="81"/>
      <c r="J234" s="81"/>
      <c r="K234" s="81"/>
      <c r="L234" s="73"/>
      <c r="M234" s="81"/>
      <c r="N234" s="73"/>
      <c r="O234" s="82"/>
      <c r="P234" s="81"/>
      <c r="Q234" s="83"/>
      <c r="R234" s="87"/>
      <c r="S234" s="87"/>
      <c r="T234" s="87"/>
      <c r="U234" s="87"/>
      <c r="V234" s="87"/>
      <c r="W234" s="87"/>
      <c r="X234" s="457" t="s">
        <v>226</v>
      </c>
      <c r="Y234" s="452" t="s">
        <v>63</v>
      </c>
      <c r="Z234" s="453" t="s">
        <v>49</v>
      </c>
      <c r="AA234" s="453" t="s">
        <v>16</v>
      </c>
      <c r="AB234" s="542" t="s">
        <v>227</v>
      </c>
      <c r="AC234" s="482"/>
      <c r="AD234" s="672">
        <f>AD235</f>
        <v>0.79999999999999993</v>
      </c>
      <c r="AE234" s="634">
        <f>AE235</f>
        <v>1.4000000000000001</v>
      </c>
      <c r="AF234" s="645">
        <f>AF235</f>
        <v>0.6</v>
      </c>
      <c r="AG234" s="180"/>
      <c r="AH234" s="180"/>
      <c r="AI234" s="147"/>
    </row>
    <row r="235" spans="1:35" s="103" customFormat="1" x14ac:dyDescent="0.25">
      <c r="A235" s="88"/>
      <c r="B235" s="78"/>
      <c r="C235" s="79"/>
      <c r="D235" s="79"/>
      <c r="E235" s="80"/>
      <c r="F235" s="79"/>
      <c r="G235" s="81"/>
      <c r="H235" s="105"/>
      <c r="I235" s="49"/>
      <c r="J235" s="49"/>
      <c r="K235" s="49"/>
      <c r="L235" s="73"/>
      <c r="M235" s="49"/>
      <c r="N235" s="73"/>
      <c r="O235" s="82"/>
      <c r="P235" s="81"/>
      <c r="Q235" s="83"/>
      <c r="R235" s="87"/>
      <c r="S235" s="87"/>
      <c r="T235" s="87"/>
      <c r="U235" s="87"/>
      <c r="V235" s="87"/>
      <c r="W235" s="87"/>
      <c r="X235" s="457" t="s">
        <v>228</v>
      </c>
      <c r="Y235" s="452" t="s">
        <v>63</v>
      </c>
      <c r="Z235" s="453" t="s">
        <v>49</v>
      </c>
      <c r="AA235" s="453" t="s">
        <v>16</v>
      </c>
      <c r="AB235" s="542" t="s">
        <v>229</v>
      </c>
      <c r="AC235" s="454"/>
      <c r="AD235" s="672">
        <f t="shared" ref="AD235:AF237" si="62">AD236</f>
        <v>0.79999999999999993</v>
      </c>
      <c r="AE235" s="634">
        <f t="shared" si="62"/>
        <v>1.4000000000000001</v>
      </c>
      <c r="AF235" s="645">
        <f t="shared" si="62"/>
        <v>0.6</v>
      </c>
      <c r="AG235" s="180"/>
      <c r="AH235" s="180"/>
      <c r="AI235" s="147"/>
    </row>
    <row r="236" spans="1:35" s="103" customFormat="1" x14ac:dyDescent="0.25">
      <c r="A236" s="88"/>
      <c r="B236" s="78"/>
      <c r="C236" s="79"/>
      <c r="D236" s="79"/>
      <c r="E236" s="80"/>
      <c r="F236" s="79"/>
      <c r="G236" s="81"/>
      <c r="H236" s="105"/>
      <c r="I236" s="49"/>
      <c r="J236" s="49"/>
      <c r="K236" s="49"/>
      <c r="L236" s="73"/>
      <c r="M236" s="49"/>
      <c r="N236" s="73"/>
      <c r="O236" s="82"/>
      <c r="P236" s="81"/>
      <c r="Q236" s="83"/>
      <c r="R236" s="87"/>
      <c r="S236" s="87"/>
      <c r="T236" s="87"/>
      <c r="U236" s="87"/>
      <c r="V236" s="87"/>
      <c r="W236" s="87"/>
      <c r="X236" s="466" t="s">
        <v>426</v>
      </c>
      <c r="Y236" s="452" t="s">
        <v>63</v>
      </c>
      <c r="Z236" s="453" t="s">
        <v>49</v>
      </c>
      <c r="AA236" s="453" t="s">
        <v>16</v>
      </c>
      <c r="AB236" s="542" t="s">
        <v>338</v>
      </c>
      <c r="AC236" s="454"/>
      <c r="AD236" s="672">
        <f t="shared" si="62"/>
        <v>0.79999999999999993</v>
      </c>
      <c r="AE236" s="634">
        <f t="shared" si="62"/>
        <v>1.4000000000000001</v>
      </c>
      <c r="AF236" s="645">
        <f t="shared" si="62"/>
        <v>0.6</v>
      </c>
      <c r="AG236" s="180"/>
      <c r="AH236" s="180"/>
      <c r="AI236" s="147"/>
    </row>
    <row r="237" spans="1:35" s="103" customFormat="1" ht="47.25" x14ac:dyDescent="0.25">
      <c r="A237" s="88"/>
      <c r="B237" s="78"/>
      <c r="C237" s="79"/>
      <c r="D237" s="79"/>
      <c r="E237" s="80"/>
      <c r="F237" s="79"/>
      <c r="G237" s="81"/>
      <c r="H237" s="81"/>
      <c r="I237" s="81"/>
      <c r="J237" s="81"/>
      <c r="K237" s="81"/>
      <c r="L237" s="73"/>
      <c r="M237" s="81"/>
      <c r="N237" s="73"/>
      <c r="O237" s="82"/>
      <c r="P237" s="81"/>
      <c r="Q237" s="83"/>
      <c r="R237" s="87"/>
      <c r="S237" s="87"/>
      <c r="T237" s="87"/>
      <c r="U237" s="87"/>
      <c r="V237" s="87"/>
      <c r="W237" s="87"/>
      <c r="X237" s="466" t="s">
        <v>230</v>
      </c>
      <c r="Y237" s="452" t="s">
        <v>63</v>
      </c>
      <c r="Z237" s="453" t="s">
        <v>49</v>
      </c>
      <c r="AA237" s="453" t="s">
        <v>16</v>
      </c>
      <c r="AB237" s="542" t="s">
        <v>339</v>
      </c>
      <c r="AC237" s="454"/>
      <c r="AD237" s="672">
        <f>AD238</f>
        <v>0.79999999999999993</v>
      </c>
      <c r="AE237" s="634">
        <f t="shared" si="62"/>
        <v>1.4000000000000001</v>
      </c>
      <c r="AF237" s="645">
        <f t="shared" si="62"/>
        <v>0.6</v>
      </c>
      <c r="AG237" s="180"/>
      <c r="AH237" s="180"/>
      <c r="AI237" s="147"/>
    </row>
    <row r="238" spans="1:35" s="103" customFormat="1" ht="47.25" x14ac:dyDescent="0.25">
      <c r="A238" s="88"/>
      <c r="B238" s="78"/>
      <c r="C238" s="79"/>
      <c r="D238" s="79"/>
      <c r="E238" s="80"/>
      <c r="F238" s="79"/>
      <c r="G238" s="81"/>
      <c r="H238" s="81"/>
      <c r="I238" s="81"/>
      <c r="J238" s="81"/>
      <c r="K238" s="81"/>
      <c r="L238" s="73"/>
      <c r="M238" s="81"/>
      <c r="N238" s="73"/>
      <c r="O238" s="82"/>
      <c r="P238" s="81"/>
      <c r="Q238" s="83"/>
      <c r="R238" s="87"/>
      <c r="S238" s="87"/>
      <c r="T238" s="87"/>
      <c r="U238" s="87"/>
      <c r="V238" s="87"/>
      <c r="W238" s="87"/>
      <c r="X238" s="466" t="s">
        <v>319</v>
      </c>
      <c r="Y238" s="452" t="s">
        <v>63</v>
      </c>
      <c r="Z238" s="453" t="s">
        <v>49</v>
      </c>
      <c r="AA238" s="453" t="s">
        <v>16</v>
      </c>
      <c r="AB238" s="542" t="s">
        <v>340</v>
      </c>
      <c r="AC238" s="454"/>
      <c r="AD238" s="672">
        <f t="shared" ref="AD238:AF239" si="63">AD239</f>
        <v>0.79999999999999993</v>
      </c>
      <c r="AE238" s="634">
        <f t="shared" si="63"/>
        <v>1.4000000000000001</v>
      </c>
      <c r="AF238" s="645">
        <f>AF239</f>
        <v>0.6</v>
      </c>
      <c r="AG238" s="180"/>
      <c r="AH238" s="180"/>
      <c r="AI238" s="147"/>
    </row>
    <row r="239" spans="1:35" s="103" customFormat="1" x14ac:dyDescent="0.25">
      <c r="A239" s="88"/>
      <c r="B239" s="78"/>
      <c r="C239" s="79"/>
      <c r="D239" s="79"/>
      <c r="E239" s="80"/>
      <c r="F239" s="79"/>
      <c r="G239" s="81"/>
      <c r="H239" s="81"/>
      <c r="I239" s="81"/>
      <c r="J239" s="81"/>
      <c r="K239" s="81"/>
      <c r="L239" s="73"/>
      <c r="M239" s="81"/>
      <c r="N239" s="73"/>
      <c r="O239" s="82"/>
      <c r="P239" s="81"/>
      <c r="Q239" s="83"/>
      <c r="R239" s="87"/>
      <c r="S239" s="87"/>
      <c r="T239" s="87"/>
      <c r="U239" s="87"/>
      <c r="V239" s="87"/>
      <c r="W239" s="87"/>
      <c r="X239" s="451" t="s">
        <v>120</v>
      </c>
      <c r="Y239" s="452" t="s">
        <v>63</v>
      </c>
      <c r="Z239" s="453" t="s">
        <v>49</v>
      </c>
      <c r="AA239" s="453" t="s">
        <v>16</v>
      </c>
      <c r="AB239" s="542" t="s">
        <v>340</v>
      </c>
      <c r="AC239" s="454">
        <v>200</v>
      </c>
      <c r="AD239" s="672">
        <f t="shared" si="63"/>
        <v>0.79999999999999993</v>
      </c>
      <c r="AE239" s="634">
        <f t="shared" si="63"/>
        <v>1.4000000000000001</v>
      </c>
      <c r="AF239" s="645">
        <f t="shared" si="63"/>
        <v>0.6</v>
      </c>
      <c r="AG239" s="180"/>
      <c r="AH239" s="180"/>
      <c r="AI239" s="147"/>
    </row>
    <row r="240" spans="1:35" s="103" customFormat="1" ht="20.25" customHeight="1" x14ac:dyDescent="0.25">
      <c r="A240" s="88"/>
      <c r="B240" s="78"/>
      <c r="C240" s="79"/>
      <c r="D240" s="79"/>
      <c r="E240" s="80"/>
      <c r="F240" s="79"/>
      <c r="G240" s="81"/>
      <c r="H240" s="81"/>
      <c r="I240" s="81"/>
      <c r="J240" s="81"/>
      <c r="K240" s="81"/>
      <c r="L240" s="73"/>
      <c r="M240" s="81"/>
      <c r="N240" s="73"/>
      <c r="O240" s="82"/>
      <c r="P240" s="81"/>
      <c r="Q240" s="83"/>
      <c r="R240" s="87"/>
      <c r="S240" s="87"/>
      <c r="T240" s="87"/>
      <c r="U240" s="87"/>
      <c r="V240" s="87"/>
      <c r="W240" s="87"/>
      <c r="X240" s="451" t="s">
        <v>52</v>
      </c>
      <c r="Y240" s="452" t="s">
        <v>63</v>
      </c>
      <c r="Z240" s="453" t="s">
        <v>49</v>
      </c>
      <c r="AA240" s="453" t="s">
        <v>16</v>
      </c>
      <c r="AB240" s="542" t="s">
        <v>340</v>
      </c>
      <c r="AC240" s="454">
        <v>240</v>
      </c>
      <c r="AD240" s="672">
        <f>0.1+0.7</f>
        <v>0.79999999999999993</v>
      </c>
      <c r="AE240" s="634">
        <f>0.1+1.3</f>
        <v>1.4000000000000001</v>
      </c>
      <c r="AF240" s="645">
        <v>0.6</v>
      </c>
      <c r="AG240" s="180"/>
      <c r="AH240" s="180"/>
      <c r="AI240" s="147"/>
    </row>
    <row r="241" spans="1:35" s="103" customFormat="1" ht="18.75" x14ac:dyDescent="0.3">
      <c r="A241" s="108"/>
      <c r="B241" s="78"/>
      <c r="C241" s="79"/>
      <c r="D241" s="79"/>
      <c r="E241" s="80"/>
      <c r="F241" s="79"/>
      <c r="G241" s="81"/>
      <c r="H241" s="105"/>
      <c r="I241" s="49"/>
      <c r="J241" s="49"/>
      <c r="K241" s="49"/>
      <c r="L241" s="73"/>
      <c r="M241" s="49"/>
      <c r="N241" s="73"/>
      <c r="O241" s="82"/>
      <c r="P241" s="81"/>
      <c r="Q241" s="83"/>
      <c r="R241" s="87"/>
      <c r="S241" s="87"/>
      <c r="T241" s="87"/>
      <c r="U241" s="87"/>
      <c r="V241" s="87"/>
      <c r="W241" s="105"/>
      <c r="X241" s="451" t="s">
        <v>93</v>
      </c>
      <c r="Y241" s="452" t="s">
        <v>63</v>
      </c>
      <c r="Z241" s="453" t="s">
        <v>49</v>
      </c>
      <c r="AA241" s="453" t="s">
        <v>22</v>
      </c>
      <c r="AB241" s="547"/>
      <c r="AC241" s="483"/>
      <c r="AD241" s="672">
        <f t="shared" ref="AD241:AF242" si="64">AD242</f>
        <v>53000</v>
      </c>
      <c r="AE241" s="634">
        <f t="shared" si="64"/>
        <v>36365</v>
      </c>
      <c r="AF241" s="645">
        <f t="shared" si="64"/>
        <v>37856</v>
      </c>
      <c r="AG241" s="180"/>
      <c r="AH241" s="180"/>
      <c r="AI241" s="147"/>
    </row>
    <row r="242" spans="1:35" s="103" customFormat="1" ht="31.5" x14ac:dyDescent="0.25">
      <c r="A242" s="108"/>
      <c r="B242" s="78"/>
      <c r="C242" s="79"/>
      <c r="D242" s="79"/>
      <c r="E242" s="80"/>
      <c r="F242" s="79"/>
      <c r="G242" s="81"/>
      <c r="H242" s="105"/>
      <c r="I242" s="49"/>
      <c r="J242" s="49"/>
      <c r="K242" s="49"/>
      <c r="L242" s="73"/>
      <c r="M242" s="49"/>
      <c r="N242" s="73"/>
      <c r="O242" s="82"/>
      <c r="P242" s="81"/>
      <c r="Q242" s="83"/>
      <c r="R242" s="87"/>
      <c r="S242" s="87"/>
      <c r="T242" s="87"/>
      <c r="U242" s="87"/>
      <c r="V242" s="87"/>
      <c r="W242" s="105"/>
      <c r="X242" s="457" t="s">
        <v>226</v>
      </c>
      <c r="Y242" s="467" t="s">
        <v>63</v>
      </c>
      <c r="Z242" s="472" t="s">
        <v>49</v>
      </c>
      <c r="AA242" s="472" t="s">
        <v>22</v>
      </c>
      <c r="AB242" s="542" t="s">
        <v>227</v>
      </c>
      <c r="AC242" s="482"/>
      <c r="AD242" s="672">
        <f>AD243</f>
        <v>53000</v>
      </c>
      <c r="AE242" s="634">
        <f t="shared" si="64"/>
        <v>36365</v>
      </c>
      <c r="AF242" s="645">
        <f t="shared" si="64"/>
        <v>37856</v>
      </c>
      <c r="AG242" s="180"/>
      <c r="AH242" s="180"/>
      <c r="AI242" s="147"/>
    </row>
    <row r="243" spans="1:35" s="103" customFormat="1" x14ac:dyDescent="0.25">
      <c r="A243" s="108"/>
      <c r="B243" s="78"/>
      <c r="C243" s="79"/>
      <c r="D243" s="79"/>
      <c r="E243" s="80"/>
      <c r="F243" s="79"/>
      <c r="G243" s="81"/>
      <c r="H243" s="105"/>
      <c r="I243" s="49"/>
      <c r="J243" s="49"/>
      <c r="K243" s="49"/>
      <c r="L243" s="73"/>
      <c r="M243" s="49"/>
      <c r="N243" s="73"/>
      <c r="O243" s="82"/>
      <c r="P243" s="81"/>
      <c r="Q243" s="83"/>
      <c r="R243" s="87"/>
      <c r="S243" s="87"/>
      <c r="T243" s="87"/>
      <c r="U243" s="87"/>
      <c r="V243" s="87"/>
      <c r="W243" s="105"/>
      <c r="X243" s="457" t="s">
        <v>48</v>
      </c>
      <c r="Y243" s="452" t="s">
        <v>63</v>
      </c>
      <c r="Z243" s="472" t="s">
        <v>49</v>
      </c>
      <c r="AA243" s="472" t="s">
        <v>22</v>
      </c>
      <c r="AB243" s="542" t="s">
        <v>341</v>
      </c>
      <c r="AC243" s="454"/>
      <c r="AD243" s="672">
        <f t="shared" ref="AD243:AF246" si="65">AD244</f>
        <v>53000</v>
      </c>
      <c r="AE243" s="634">
        <f t="shared" si="65"/>
        <v>36365</v>
      </c>
      <c r="AF243" s="645">
        <f t="shared" si="65"/>
        <v>37856</v>
      </c>
      <c r="AG243" s="180"/>
      <c r="AH243" s="180"/>
      <c r="AI243" s="147"/>
    </row>
    <row r="244" spans="1:35" s="103" customFormat="1" ht="31.5" x14ac:dyDescent="0.25">
      <c r="A244" s="108"/>
      <c r="B244" s="78"/>
      <c r="C244" s="79"/>
      <c r="D244" s="79"/>
      <c r="E244" s="80"/>
      <c r="F244" s="79"/>
      <c r="G244" s="81"/>
      <c r="H244" s="105"/>
      <c r="I244" s="49"/>
      <c r="J244" s="49"/>
      <c r="K244" s="49"/>
      <c r="L244" s="73"/>
      <c r="M244" s="49"/>
      <c r="N244" s="73"/>
      <c r="O244" s="82"/>
      <c r="P244" s="81"/>
      <c r="Q244" s="83"/>
      <c r="R244" s="87"/>
      <c r="S244" s="87"/>
      <c r="T244" s="87"/>
      <c r="U244" s="87"/>
      <c r="V244" s="87"/>
      <c r="W244" s="105"/>
      <c r="X244" s="457" t="s">
        <v>191</v>
      </c>
      <c r="Y244" s="452" t="s">
        <v>63</v>
      </c>
      <c r="Z244" s="472" t="s">
        <v>49</v>
      </c>
      <c r="AA244" s="472" t="s">
        <v>22</v>
      </c>
      <c r="AB244" s="542" t="s">
        <v>342</v>
      </c>
      <c r="AC244" s="454"/>
      <c r="AD244" s="672">
        <f t="shared" si="65"/>
        <v>53000</v>
      </c>
      <c r="AE244" s="634">
        <f t="shared" si="65"/>
        <v>36365</v>
      </c>
      <c r="AF244" s="645">
        <f t="shared" si="65"/>
        <v>37856</v>
      </c>
      <c r="AG244" s="180"/>
      <c r="AH244" s="180"/>
      <c r="AI244" s="147"/>
    </row>
    <row r="245" spans="1:35" s="103" customFormat="1" ht="31.5" x14ac:dyDescent="0.25">
      <c r="A245" s="108"/>
      <c r="B245" s="78"/>
      <c r="C245" s="79"/>
      <c r="D245" s="79"/>
      <c r="E245" s="80"/>
      <c r="F245" s="79"/>
      <c r="G245" s="81"/>
      <c r="H245" s="105"/>
      <c r="I245" s="49"/>
      <c r="J245" s="49"/>
      <c r="K245" s="49"/>
      <c r="L245" s="73"/>
      <c r="M245" s="49"/>
      <c r="N245" s="73"/>
      <c r="O245" s="82"/>
      <c r="P245" s="81"/>
      <c r="Q245" s="83"/>
      <c r="R245" s="87"/>
      <c r="S245" s="87"/>
      <c r="T245" s="87"/>
      <c r="U245" s="87"/>
      <c r="V245" s="87"/>
      <c r="W245" s="105"/>
      <c r="X245" s="465" t="s">
        <v>707</v>
      </c>
      <c r="Y245" s="452" t="s">
        <v>63</v>
      </c>
      <c r="Z245" s="472" t="s">
        <v>49</v>
      </c>
      <c r="AA245" s="472" t="s">
        <v>22</v>
      </c>
      <c r="AB245" s="542" t="s">
        <v>706</v>
      </c>
      <c r="AC245" s="454"/>
      <c r="AD245" s="672">
        <f>AD246</f>
        <v>53000</v>
      </c>
      <c r="AE245" s="634">
        <f>AE246</f>
        <v>36365</v>
      </c>
      <c r="AF245" s="645">
        <f>AF246</f>
        <v>37856</v>
      </c>
      <c r="AG245" s="180"/>
      <c r="AH245" s="180"/>
      <c r="AI245" s="147"/>
    </row>
    <row r="246" spans="1:35" s="103" customFormat="1" ht="31.5" x14ac:dyDescent="0.25">
      <c r="A246" s="108"/>
      <c r="B246" s="78"/>
      <c r="C246" s="79"/>
      <c r="D246" s="79"/>
      <c r="E246" s="80"/>
      <c r="F246" s="79"/>
      <c r="G246" s="81"/>
      <c r="H246" s="105"/>
      <c r="I246" s="49"/>
      <c r="J246" s="49"/>
      <c r="K246" s="49"/>
      <c r="L246" s="73"/>
      <c r="M246" s="49"/>
      <c r="N246" s="73"/>
      <c r="O246" s="82"/>
      <c r="P246" s="81"/>
      <c r="Q246" s="83"/>
      <c r="R246" s="87"/>
      <c r="S246" s="87"/>
      <c r="T246" s="87"/>
      <c r="U246" s="87"/>
      <c r="V246" s="87"/>
      <c r="W246" s="105"/>
      <c r="X246" s="654" t="s">
        <v>60</v>
      </c>
      <c r="Y246" s="452" t="s">
        <v>63</v>
      </c>
      <c r="Z246" s="472" t="s">
        <v>49</v>
      </c>
      <c r="AA246" s="472" t="s">
        <v>22</v>
      </c>
      <c r="AB246" s="542" t="s">
        <v>706</v>
      </c>
      <c r="AC246" s="454">
        <v>600</v>
      </c>
      <c r="AD246" s="672">
        <f t="shared" si="65"/>
        <v>53000</v>
      </c>
      <c r="AE246" s="634">
        <f t="shared" si="65"/>
        <v>36365</v>
      </c>
      <c r="AF246" s="645">
        <f t="shared" si="65"/>
        <v>37856</v>
      </c>
      <c r="AG246" s="180"/>
      <c r="AH246" s="180"/>
      <c r="AI246" s="147"/>
    </row>
    <row r="247" spans="1:35" s="103" customFormat="1" x14ac:dyDescent="0.25">
      <c r="A247" s="108"/>
      <c r="B247" s="78"/>
      <c r="C247" s="79"/>
      <c r="D247" s="79"/>
      <c r="E247" s="80"/>
      <c r="F247" s="79"/>
      <c r="G247" s="81"/>
      <c r="H247" s="105"/>
      <c r="I247" s="49"/>
      <c r="J247" s="49"/>
      <c r="K247" s="49"/>
      <c r="L247" s="73"/>
      <c r="M247" s="49"/>
      <c r="N247" s="73"/>
      <c r="O247" s="82"/>
      <c r="P247" s="81"/>
      <c r="Q247" s="83"/>
      <c r="R247" s="87"/>
      <c r="S247" s="87"/>
      <c r="T247" s="87"/>
      <c r="U247" s="87"/>
      <c r="V247" s="87"/>
      <c r="W247" s="105"/>
      <c r="X247" s="654" t="s">
        <v>61</v>
      </c>
      <c r="Y247" s="452" t="s">
        <v>63</v>
      </c>
      <c r="Z247" s="472" t="s">
        <v>49</v>
      </c>
      <c r="AA247" s="472" t="s">
        <v>22</v>
      </c>
      <c r="AB247" s="542" t="s">
        <v>706</v>
      </c>
      <c r="AC247" s="454">
        <v>610</v>
      </c>
      <c r="AD247" s="672">
        <f>35000+18000</f>
        <v>53000</v>
      </c>
      <c r="AE247" s="634">
        <v>36365</v>
      </c>
      <c r="AF247" s="645">
        <v>37856</v>
      </c>
      <c r="AG247" s="180"/>
      <c r="AH247" s="180"/>
      <c r="AI247" s="147"/>
    </row>
    <row r="248" spans="1:35" s="103" customFormat="1" x14ac:dyDescent="0.25">
      <c r="A248" s="108"/>
      <c r="B248" s="78"/>
      <c r="C248" s="79"/>
      <c r="D248" s="79"/>
      <c r="E248" s="80"/>
      <c r="F248" s="79"/>
      <c r="G248" s="81"/>
      <c r="H248" s="105"/>
      <c r="I248" s="49"/>
      <c r="J248" s="49"/>
      <c r="K248" s="49"/>
      <c r="L248" s="73"/>
      <c r="M248" s="49"/>
      <c r="N248" s="73"/>
      <c r="O248" s="82"/>
      <c r="P248" s="81"/>
      <c r="Q248" s="83"/>
      <c r="R248" s="87"/>
      <c r="S248" s="87"/>
      <c r="T248" s="87"/>
      <c r="U248" s="87"/>
      <c r="V248" s="87"/>
      <c r="W248" s="105"/>
      <c r="X248" s="451" t="s">
        <v>32</v>
      </c>
      <c r="Y248" s="452" t="s">
        <v>63</v>
      </c>
      <c r="Z248" s="474" t="s">
        <v>49</v>
      </c>
      <c r="AA248" s="474">
        <v>10</v>
      </c>
      <c r="AB248" s="548"/>
      <c r="AC248" s="454"/>
      <c r="AD248" s="672">
        <f>AD249</f>
        <v>3822</v>
      </c>
      <c r="AE248" s="634">
        <f t="shared" ref="AD248:AF249" si="66">AE249</f>
        <v>3003</v>
      </c>
      <c r="AF248" s="645">
        <f t="shared" si="66"/>
        <v>0</v>
      </c>
      <c r="AG248" s="180"/>
      <c r="AH248" s="180"/>
      <c r="AI248" s="147"/>
    </row>
    <row r="249" spans="1:35" s="103" customFormat="1" x14ac:dyDescent="0.25">
      <c r="A249" s="108"/>
      <c r="B249" s="78"/>
      <c r="C249" s="79"/>
      <c r="D249" s="79"/>
      <c r="E249" s="80"/>
      <c r="F249" s="79"/>
      <c r="G249" s="81"/>
      <c r="H249" s="105"/>
      <c r="I249" s="49"/>
      <c r="J249" s="49"/>
      <c r="K249" s="49"/>
      <c r="L249" s="73"/>
      <c r="M249" s="49"/>
      <c r="N249" s="73"/>
      <c r="O249" s="82"/>
      <c r="P249" s="81"/>
      <c r="Q249" s="83"/>
      <c r="R249" s="87"/>
      <c r="S249" s="87"/>
      <c r="T249" s="87"/>
      <c r="U249" s="87"/>
      <c r="V249" s="87"/>
      <c r="W249" s="105"/>
      <c r="X249" s="457" t="s">
        <v>233</v>
      </c>
      <c r="Y249" s="452" t="s">
        <v>63</v>
      </c>
      <c r="Z249" s="474" t="s">
        <v>49</v>
      </c>
      <c r="AA249" s="474">
        <v>10</v>
      </c>
      <c r="AB249" s="542" t="s">
        <v>234</v>
      </c>
      <c r="AC249" s="454"/>
      <c r="AD249" s="672">
        <f t="shared" si="66"/>
        <v>3822</v>
      </c>
      <c r="AE249" s="634">
        <f t="shared" si="66"/>
        <v>3003</v>
      </c>
      <c r="AF249" s="645">
        <f t="shared" si="66"/>
        <v>0</v>
      </c>
      <c r="AG249" s="180"/>
      <c r="AH249" s="180"/>
      <c r="AI249" s="147"/>
    </row>
    <row r="250" spans="1:35" s="103" customFormat="1" ht="31.5" x14ac:dyDescent="0.25">
      <c r="A250" s="108"/>
      <c r="B250" s="78"/>
      <c r="C250" s="79"/>
      <c r="D250" s="79"/>
      <c r="E250" s="80"/>
      <c r="F250" s="79"/>
      <c r="G250" s="81"/>
      <c r="H250" s="105"/>
      <c r="I250" s="49"/>
      <c r="J250" s="49"/>
      <c r="K250" s="49"/>
      <c r="L250" s="73"/>
      <c r="M250" s="49"/>
      <c r="N250" s="73"/>
      <c r="O250" s="82"/>
      <c r="P250" s="81"/>
      <c r="Q250" s="83"/>
      <c r="R250" s="87"/>
      <c r="S250" s="87"/>
      <c r="T250" s="87"/>
      <c r="U250" s="87"/>
      <c r="V250" s="87"/>
      <c r="W250" s="105"/>
      <c r="X250" s="457" t="s">
        <v>236</v>
      </c>
      <c r="Y250" s="452" t="s">
        <v>63</v>
      </c>
      <c r="Z250" s="474" t="s">
        <v>49</v>
      </c>
      <c r="AA250" s="474">
        <v>10</v>
      </c>
      <c r="AB250" s="542" t="s">
        <v>237</v>
      </c>
      <c r="AC250" s="463"/>
      <c r="AD250" s="672">
        <f>AD251+AD259+AD255</f>
        <v>3822</v>
      </c>
      <c r="AE250" s="634">
        <f>AE251+AE259+AE255</f>
        <v>3003</v>
      </c>
      <c r="AF250" s="645">
        <f>AF251+AF259+AF255</f>
        <v>0</v>
      </c>
      <c r="AG250" s="180"/>
      <c r="AH250" s="180"/>
      <c r="AI250" s="147"/>
    </row>
    <row r="251" spans="1:35" s="103" customFormat="1" x14ac:dyDescent="0.25">
      <c r="A251" s="108"/>
      <c r="B251" s="78"/>
      <c r="C251" s="79"/>
      <c r="D251" s="79"/>
      <c r="E251" s="80"/>
      <c r="F251" s="79"/>
      <c r="G251" s="81"/>
      <c r="H251" s="105"/>
      <c r="I251" s="49"/>
      <c r="J251" s="49"/>
      <c r="K251" s="49"/>
      <c r="L251" s="73"/>
      <c r="M251" s="49"/>
      <c r="N251" s="73"/>
      <c r="O251" s="82"/>
      <c r="P251" s="81"/>
      <c r="Q251" s="83"/>
      <c r="R251" s="87"/>
      <c r="S251" s="87"/>
      <c r="T251" s="87"/>
      <c r="U251" s="87"/>
      <c r="V251" s="87"/>
      <c r="W251" s="105"/>
      <c r="X251" s="457" t="s">
        <v>372</v>
      </c>
      <c r="Y251" s="452" t="s">
        <v>63</v>
      </c>
      <c r="Z251" s="474" t="s">
        <v>49</v>
      </c>
      <c r="AA251" s="474">
        <v>10</v>
      </c>
      <c r="AB251" s="542" t="s">
        <v>373</v>
      </c>
      <c r="AC251" s="463"/>
      <c r="AD251" s="672">
        <f t="shared" ref="AD251:AF253" si="67">AD252</f>
        <v>3172</v>
      </c>
      <c r="AE251" s="634">
        <f t="shared" si="67"/>
        <v>2593</v>
      </c>
      <c r="AF251" s="645">
        <f t="shared" si="67"/>
        <v>0</v>
      </c>
      <c r="AG251" s="180"/>
      <c r="AH251" s="180"/>
      <c r="AI251" s="147"/>
    </row>
    <row r="252" spans="1:35" s="103" customFormat="1" x14ac:dyDescent="0.25">
      <c r="A252" s="108"/>
      <c r="B252" s="78"/>
      <c r="C252" s="79"/>
      <c r="D252" s="79"/>
      <c r="E252" s="80"/>
      <c r="F252" s="79"/>
      <c r="G252" s="81"/>
      <c r="H252" s="105"/>
      <c r="I252" s="49"/>
      <c r="J252" s="49"/>
      <c r="K252" s="49"/>
      <c r="L252" s="73"/>
      <c r="M252" s="49"/>
      <c r="N252" s="73"/>
      <c r="O252" s="82"/>
      <c r="P252" s="81"/>
      <c r="Q252" s="83"/>
      <c r="R252" s="87"/>
      <c r="S252" s="87"/>
      <c r="T252" s="87"/>
      <c r="U252" s="87"/>
      <c r="V252" s="87"/>
      <c r="W252" s="105"/>
      <c r="X252" s="465" t="s">
        <v>374</v>
      </c>
      <c r="Y252" s="452" t="s">
        <v>63</v>
      </c>
      <c r="Z252" s="474" t="s">
        <v>49</v>
      </c>
      <c r="AA252" s="474">
        <v>10</v>
      </c>
      <c r="AB252" s="542" t="s">
        <v>375</v>
      </c>
      <c r="AC252" s="572"/>
      <c r="AD252" s="672">
        <f t="shared" si="67"/>
        <v>3172</v>
      </c>
      <c r="AE252" s="634">
        <f t="shared" si="67"/>
        <v>2593</v>
      </c>
      <c r="AF252" s="645">
        <f t="shared" si="67"/>
        <v>0</v>
      </c>
      <c r="AG252" s="180"/>
      <c r="AH252" s="180"/>
      <c r="AI252" s="147"/>
    </row>
    <row r="253" spans="1:35" s="103" customFormat="1" x14ac:dyDescent="0.25">
      <c r="A253" s="108"/>
      <c r="B253" s="78"/>
      <c r="C253" s="79"/>
      <c r="D253" s="79"/>
      <c r="E253" s="80"/>
      <c r="F253" s="79"/>
      <c r="G253" s="81"/>
      <c r="H253" s="105"/>
      <c r="I253" s="49"/>
      <c r="J253" s="49"/>
      <c r="K253" s="49"/>
      <c r="L253" s="73"/>
      <c r="M253" s="49"/>
      <c r="N253" s="73"/>
      <c r="O253" s="82"/>
      <c r="P253" s="81"/>
      <c r="Q253" s="83"/>
      <c r="R253" s="87"/>
      <c r="S253" s="87"/>
      <c r="T253" s="87"/>
      <c r="U253" s="87"/>
      <c r="V253" s="87"/>
      <c r="W253" s="105"/>
      <c r="X253" s="451" t="s">
        <v>120</v>
      </c>
      <c r="Y253" s="452" t="s">
        <v>63</v>
      </c>
      <c r="Z253" s="474" t="s">
        <v>49</v>
      </c>
      <c r="AA253" s="474">
        <v>10</v>
      </c>
      <c r="AB253" s="542" t="s">
        <v>375</v>
      </c>
      <c r="AC253" s="454">
        <v>200</v>
      </c>
      <c r="AD253" s="672">
        <f t="shared" si="67"/>
        <v>3172</v>
      </c>
      <c r="AE253" s="634">
        <f t="shared" si="67"/>
        <v>2593</v>
      </c>
      <c r="AF253" s="645">
        <f t="shared" si="67"/>
        <v>0</v>
      </c>
      <c r="AG253" s="180"/>
      <c r="AH253" s="180"/>
      <c r="AI253" s="147"/>
    </row>
    <row r="254" spans="1:35" s="103" customFormat="1" ht="31.5" x14ac:dyDescent="0.25">
      <c r="A254" s="108"/>
      <c r="B254" s="78"/>
      <c r="C254" s="79"/>
      <c r="D254" s="79"/>
      <c r="E254" s="80"/>
      <c r="F254" s="79"/>
      <c r="G254" s="81"/>
      <c r="H254" s="105"/>
      <c r="I254" s="49"/>
      <c r="J254" s="49"/>
      <c r="K254" s="49"/>
      <c r="L254" s="73"/>
      <c r="M254" s="49"/>
      <c r="N254" s="73"/>
      <c r="O254" s="82"/>
      <c r="P254" s="81"/>
      <c r="Q254" s="83"/>
      <c r="R254" s="87"/>
      <c r="S254" s="87"/>
      <c r="T254" s="87"/>
      <c r="U254" s="87"/>
      <c r="V254" s="87"/>
      <c r="W254" s="105"/>
      <c r="X254" s="451" t="s">
        <v>52</v>
      </c>
      <c r="Y254" s="452" t="s">
        <v>63</v>
      </c>
      <c r="Z254" s="474" t="s">
        <v>49</v>
      </c>
      <c r="AA254" s="474">
        <v>10</v>
      </c>
      <c r="AB254" s="542" t="s">
        <v>375</v>
      </c>
      <c r="AC254" s="454">
        <v>240</v>
      </c>
      <c r="AD254" s="672">
        <f>2593+63.5+115.5+400</f>
        <v>3172</v>
      </c>
      <c r="AE254" s="634">
        <v>2593</v>
      </c>
      <c r="AF254" s="645">
        <v>0</v>
      </c>
      <c r="AG254" s="266"/>
      <c r="AH254" s="180"/>
      <c r="AI254" s="147"/>
    </row>
    <row r="255" spans="1:35" s="103" customFormat="1" x14ac:dyDescent="0.25">
      <c r="A255" s="108"/>
      <c r="B255" s="78"/>
      <c r="C255" s="79"/>
      <c r="D255" s="79"/>
      <c r="E255" s="80"/>
      <c r="F255" s="79"/>
      <c r="G255" s="81"/>
      <c r="H255" s="105"/>
      <c r="I255" s="49"/>
      <c r="J255" s="49"/>
      <c r="K255" s="49"/>
      <c r="L255" s="73"/>
      <c r="M255" s="49"/>
      <c r="N255" s="73"/>
      <c r="O255" s="82"/>
      <c r="P255" s="81"/>
      <c r="Q255" s="83"/>
      <c r="R255" s="87"/>
      <c r="S255" s="87"/>
      <c r="T255" s="87"/>
      <c r="U255" s="87"/>
      <c r="V255" s="87"/>
      <c r="W255" s="105"/>
      <c r="X255" s="457" t="s">
        <v>390</v>
      </c>
      <c r="Y255" s="452" t="s">
        <v>63</v>
      </c>
      <c r="Z255" s="474" t="s">
        <v>49</v>
      </c>
      <c r="AA255" s="474">
        <v>10</v>
      </c>
      <c r="AB255" s="542" t="s">
        <v>391</v>
      </c>
      <c r="AC255" s="454"/>
      <c r="AD255" s="672">
        <f t="shared" ref="AD255:AF257" si="68">AD256</f>
        <v>350</v>
      </c>
      <c r="AE255" s="634">
        <f t="shared" si="68"/>
        <v>110</v>
      </c>
      <c r="AF255" s="645">
        <f t="shared" si="68"/>
        <v>0</v>
      </c>
      <c r="AG255" s="180"/>
      <c r="AH255" s="180"/>
      <c r="AI255" s="147"/>
    </row>
    <row r="256" spans="1:35" s="103" customFormat="1" x14ac:dyDescent="0.25">
      <c r="A256" s="108"/>
      <c r="B256" s="78"/>
      <c r="C256" s="79"/>
      <c r="D256" s="79"/>
      <c r="E256" s="80"/>
      <c r="F256" s="79"/>
      <c r="G256" s="81"/>
      <c r="H256" s="105"/>
      <c r="I256" s="49"/>
      <c r="J256" s="49"/>
      <c r="K256" s="49"/>
      <c r="L256" s="73"/>
      <c r="M256" s="49"/>
      <c r="N256" s="73"/>
      <c r="O256" s="82"/>
      <c r="P256" s="81"/>
      <c r="Q256" s="83"/>
      <c r="R256" s="87"/>
      <c r="S256" s="87"/>
      <c r="T256" s="87"/>
      <c r="U256" s="87"/>
      <c r="V256" s="87"/>
      <c r="W256" s="105"/>
      <c r="X256" s="465" t="s">
        <v>392</v>
      </c>
      <c r="Y256" s="452" t="s">
        <v>63</v>
      </c>
      <c r="Z256" s="474" t="s">
        <v>49</v>
      </c>
      <c r="AA256" s="474">
        <v>10</v>
      </c>
      <c r="AB256" s="542" t="s">
        <v>393</v>
      </c>
      <c r="AC256" s="454"/>
      <c r="AD256" s="672">
        <f t="shared" si="68"/>
        <v>350</v>
      </c>
      <c r="AE256" s="634">
        <f t="shared" si="68"/>
        <v>110</v>
      </c>
      <c r="AF256" s="645">
        <f t="shared" si="68"/>
        <v>0</v>
      </c>
      <c r="AG256" s="180"/>
      <c r="AH256" s="180"/>
      <c r="AI256" s="147"/>
    </row>
    <row r="257" spans="1:35" s="103" customFormat="1" x14ac:dyDescent="0.25">
      <c r="A257" s="108"/>
      <c r="B257" s="78"/>
      <c r="C257" s="79"/>
      <c r="D257" s="79"/>
      <c r="E257" s="80"/>
      <c r="F257" s="79"/>
      <c r="G257" s="81"/>
      <c r="H257" s="105"/>
      <c r="I257" s="49"/>
      <c r="J257" s="49"/>
      <c r="K257" s="49"/>
      <c r="L257" s="73"/>
      <c r="M257" s="49"/>
      <c r="N257" s="73"/>
      <c r="O257" s="82"/>
      <c r="P257" s="81"/>
      <c r="Q257" s="83"/>
      <c r="R257" s="87"/>
      <c r="S257" s="87"/>
      <c r="T257" s="87"/>
      <c r="U257" s="87"/>
      <c r="V257" s="87"/>
      <c r="W257" s="105"/>
      <c r="X257" s="451" t="s">
        <v>120</v>
      </c>
      <c r="Y257" s="452" t="s">
        <v>63</v>
      </c>
      <c r="Z257" s="474" t="s">
        <v>49</v>
      </c>
      <c r="AA257" s="474">
        <v>10</v>
      </c>
      <c r="AB257" s="542" t="s">
        <v>393</v>
      </c>
      <c r="AC257" s="454">
        <v>200</v>
      </c>
      <c r="AD257" s="672">
        <f t="shared" si="68"/>
        <v>350</v>
      </c>
      <c r="AE257" s="634">
        <f t="shared" si="68"/>
        <v>110</v>
      </c>
      <c r="AF257" s="645">
        <f t="shared" si="68"/>
        <v>0</v>
      </c>
      <c r="AG257" s="180"/>
      <c r="AH257" s="180"/>
      <c r="AI257" s="147"/>
    </row>
    <row r="258" spans="1:35" s="103" customFormat="1" ht="31.5" x14ac:dyDescent="0.25">
      <c r="A258" s="108"/>
      <c r="B258" s="78"/>
      <c r="C258" s="79"/>
      <c r="D258" s="79"/>
      <c r="E258" s="80"/>
      <c r="F258" s="79"/>
      <c r="G258" s="81"/>
      <c r="H258" s="105"/>
      <c r="I258" s="49"/>
      <c r="J258" s="49"/>
      <c r="K258" s="49"/>
      <c r="L258" s="73"/>
      <c r="M258" s="49"/>
      <c r="N258" s="73"/>
      <c r="O258" s="82"/>
      <c r="P258" s="81"/>
      <c r="Q258" s="83"/>
      <c r="R258" s="87"/>
      <c r="S258" s="87"/>
      <c r="T258" s="87"/>
      <c r="U258" s="87"/>
      <c r="V258" s="87"/>
      <c r="W258" s="105"/>
      <c r="X258" s="451" t="s">
        <v>52</v>
      </c>
      <c r="Y258" s="452" t="s">
        <v>63</v>
      </c>
      <c r="Z258" s="474" t="s">
        <v>49</v>
      </c>
      <c r="AA258" s="474">
        <v>10</v>
      </c>
      <c r="AB258" s="542" t="s">
        <v>393</v>
      </c>
      <c r="AC258" s="454">
        <v>240</v>
      </c>
      <c r="AD258" s="672">
        <f>110+240</f>
        <v>350</v>
      </c>
      <c r="AE258" s="634">
        <v>110</v>
      </c>
      <c r="AF258" s="645">
        <v>0</v>
      </c>
      <c r="AG258" s="180"/>
      <c r="AH258" s="180"/>
      <c r="AI258" s="147"/>
    </row>
    <row r="259" spans="1:35" s="103" customFormat="1" x14ac:dyDescent="0.25">
      <c r="A259" s="108"/>
      <c r="B259" s="78"/>
      <c r="C259" s="79"/>
      <c r="D259" s="79"/>
      <c r="E259" s="80"/>
      <c r="F259" s="79"/>
      <c r="G259" s="81"/>
      <c r="H259" s="105"/>
      <c r="I259" s="49"/>
      <c r="J259" s="49"/>
      <c r="K259" s="49"/>
      <c r="L259" s="73"/>
      <c r="M259" s="49"/>
      <c r="N259" s="73"/>
      <c r="O259" s="82"/>
      <c r="P259" s="81"/>
      <c r="Q259" s="83"/>
      <c r="R259" s="87"/>
      <c r="S259" s="87"/>
      <c r="T259" s="87"/>
      <c r="U259" s="87"/>
      <c r="V259" s="87"/>
      <c r="W259" s="105"/>
      <c r="X259" s="457" t="s">
        <v>376</v>
      </c>
      <c r="Y259" s="452" t="s">
        <v>63</v>
      </c>
      <c r="Z259" s="474" t="s">
        <v>49</v>
      </c>
      <c r="AA259" s="474">
        <v>10</v>
      </c>
      <c r="AB259" s="542" t="s">
        <v>377</v>
      </c>
      <c r="AC259" s="454"/>
      <c r="AD259" s="672">
        <f t="shared" ref="AD259:AF261" si="69">AD260</f>
        <v>300</v>
      </c>
      <c r="AE259" s="634">
        <f t="shared" si="69"/>
        <v>300</v>
      </c>
      <c r="AF259" s="645">
        <f t="shared" si="69"/>
        <v>0</v>
      </c>
      <c r="AG259" s="180"/>
      <c r="AH259" s="180"/>
      <c r="AI259" s="147"/>
    </row>
    <row r="260" spans="1:35" s="103" customFormat="1" x14ac:dyDescent="0.25">
      <c r="A260" s="108"/>
      <c r="B260" s="78"/>
      <c r="C260" s="79"/>
      <c r="D260" s="79"/>
      <c r="E260" s="80"/>
      <c r="F260" s="79"/>
      <c r="G260" s="81"/>
      <c r="H260" s="105"/>
      <c r="I260" s="49"/>
      <c r="J260" s="49"/>
      <c r="K260" s="49"/>
      <c r="L260" s="73"/>
      <c r="M260" s="49"/>
      <c r="N260" s="73"/>
      <c r="O260" s="82"/>
      <c r="P260" s="81"/>
      <c r="Q260" s="83"/>
      <c r="R260" s="87"/>
      <c r="S260" s="87"/>
      <c r="T260" s="87"/>
      <c r="U260" s="87"/>
      <c r="V260" s="87"/>
      <c r="W260" s="105"/>
      <c r="X260" s="465" t="s">
        <v>378</v>
      </c>
      <c r="Y260" s="452" t="s">
        <v>63</v>
      </c>
      <c r="Z260" s="474" t="s">
        <v>49</v>
      </c>
      <c r="AA260" s="474">
        <v>10</v>
      </c>
      <c r="AB260" s="542" t="s">
        <v>379</v>
      </c>
      <c r="AC260" s="454"/>
      <c r="AD260" s="672">
        <f t="shared" si="69"/>
        <v>300</v>
      </c>
      <c r="AE260" s="634">
        <f t="shared" si="69"/>
        <v>300</v>
      </c>
      <c r="AF260" s="645">
        <f t="shared" si="69"/>
        <v>0</v>
      </c>
      <c r="AG260" s="180"/>
      <c r="AH260" s="180"/>
      <c r="AI260" s="147"/>
    </row>
    <row r="261" spans="1:35" s="103" customFormat="1" x14ac:dyDescent="0.25">
      <c r="A261" s="108"/>
      <c r="B261" s="78"/>
      <c r="C261" s="79"/>
      <c r="D261" s="79"/>
      <c r="E261" s="80"/>
      <c r="F261" s="79"/>
      <c r="G261" s="81"/>
      <c r="H261" s="105"/>
      <c r="I261" s="49"/>
      <c r="J261" s="49"/>
      <c r="K261" s="49"/>
      <c r="L261" s="73"/>
      <c r="M261" s="49"/>
      <c r="N261" s="73"/>
      <c r="O261" s="82"/>
      <c r="P261" s="81"/>
      <c r="Q261" s="83"/>
      <c r="R261" s="87"/>
      <c r="S261" s="87"/>
      <c r="T261" s="87"/>
      <c r="U261" s="87"/>
      <c r="V261" s="87"/>
      <c r="W261" s="105"/>
      <c r="X261" s="451" t="s">
        <v>120</v>
      </c>
      <c r="Y261" s="452" t="s">
        <v>63</v>
      </c>
      <c r="Z261" s="474" t="s">
        <v>49</v>
      </c>
      <c r="AA261" s="474">
        <v>10</v>
      </c>
      <c r="AB261" s="542" t="s">
        <v>379</v>
      </c>
      <c r="AC261" s="454">
        <v>200</v>
      </c>
      <c r="AD261" s="672">
        <f t="shared" si="69"/>
        <v>300</v>
      </c>
      <c r="AE261" s="634">
        <f t="shared" si="69"/>
        <v>300</v>
      </c>
      <c r="AF261" s="645">
        <f t="shared" si="69"/>
        <v>0</v>
      </c>
      <c r="AG261" s="180"/>
      <c r="AH261" s="180"/>
      <c r="AI261" s="147"/>
    </row>
    <row r="262" spans="1:35" s="103" customFormat="1" ht="31.5" x14ac:dyDescent="0.25">
      <c r="A262" s="108"/>
      <c r="B262" s="78"/>
      <c r="C262" s="79"/>
      <c r="D262" s="79"/>
      <c r="E262" s="80"/>
      <c r="F262" s="79"/>
      <c r="G262" s="81"/>
      <c r="H262" s="105"/>
      <c r="I262" s="49"/>
      <c r="J262" s="49"/>
      <c r="K262" s="49"/>
      <c r="L262" s="73"/>
      <c r="M262" s="49"/>
      <c r="N262" s="73"/>
      <c r="O262" s="82"/>
      <c r="P262" s="81"/>
      <c r="Q262" s="83"/>
      <c r="R262" s="87"/>
      <c r="S262" s="87"/>
      <c r="T262" s="87"/>
      <c r="U262" s="87"/>
      <c r="V262" s="87"/>
      <c r="W262" s="105"/>
      <c r="X262" s="451" t="s">
        <v>52</v>
      </c>
      <c r="Y262" s="452" t="s">
        <v>63</v>
      </c>
      <c r="Z262" s="474" t="s">
        <v>49</v>
      </c>
      <c r="AA262" s="474">
        <v>10</v>
      </c>
      <c r="AB262" s="542" t="s">
        <v>379</v>
      </c>
      <c r="AC262" s="454">
        <v>240</v>
      </c>
      <c r="AD262" s="672">
        <v>300</v>
      </c>
      <c r="AE262" s="634">
        <v>300</v>
      </c>
      <c r="AF262" s="645">
        <v>0</v>
      </c>
      <c r="AG262" s="180"/>
      <c r="AH262" s="180"/>
      <c r="AI262" s="147"/>
    </row>
    <row r="263" spans="1:35" s="103" customFormat="1" x14ac:dyDescent="0.25">
      <c r="A263" s="109"/>
      <c r="B263" s="25"/>
      <c r="C263" s="1"/>
      <c r="D263" s="1"/>
      <c r="E263" s="2"/>
      <c r="F263" s="2"/>
      <c r="G263" s="110"/>
      <c r="H263" s="105"/>
      <c r="I263" s="49"/>
      <c r="J263" s="49"/>
      <c r="K263" s="49"/>
      <c r="L263" s="73"/>
      <c r="M263" s="49"/>
      <c r="N263" s="73"/>
      <c r="O263" s="82"/>
      <c r="P263" s="81"/>
      <c r="Q263" s="83"/>
      <c r="R263" s="87"/>
      <c r="S263" s="87"/>
      <c r="T263" s="87"/>
      <c r="U263" s="87"/>
      <c r="V263" s="87"/>
      <c r="W263" s="105"/>
      <c r="X263" s="451" t="s">
        <v>51</v>
      </c>
      <c r="Y263" s="452" t="s">
        <v>63</v>
      </c>
      <c r="Z263" s="453" t="s">
        <v>49</v>
      </c>
      <c r="AA263" s="453">
        <v>12</v>
      </c>
      <c r="AB263" s="549"/>
      <c r="AC263" s="454"/>
      <c r="AD263" s="672">
        <f>AD264</f>
        <v>984.7</v>
      </c>
      <c r="AE263" s="634">
        <f t="shared" ref="AE263:AF263" si="70">AE264</f>
        <v>377</v>
      </c>
      <c r="AF263" s="645">
        <f t="shared" si="70"/>
        <v>377</v>
      </c>
      <c r="AG263" s="180"/>
      <c r="AH263" s="180"/>
      <c r="AI263" s="147"/>
    </row>
    <row r="264" spans="1:35" s="103" customFormat="1" ht="31.5" x14ac:dyDescent="0.25">
      <c r="A264" s="47"/>
      <c r="B264" s="78"/>
      <c r="C264" s="79"/>
      <c r="D264" s="79"/>
      <c r="E264" s="80"/>
      <c r="F264" s="80"/>
      <c r="G264" s="84"/>
      <c r="H264" s="105"/>
      <c r="I264" s="49"/>
      <c r="J264" s="49"/>
      <c r="K264" s="49"/>
      <c r="L264" s="73"/>
      <c r="M264" s="49"/>
      <c r="N264" s="73"/>
      <c r="O264" s="82"/>
      <c r="P264" s="81"/>
      <c r="Q264" s="83"/>
      <c r="R264" s="87"/>
      <c r="S264" s="87"/>
      <c r="T264" s="87"/>
      <c r="U264" s="87"/>
      <c r="V264" s="87"/>
      <c r="W264" s="105"/>
      <c r="X264" s="457" t="s">
        <v>161</v>
      </c>
      <c r="Y264" s="452" t="s">
        <v>63</v>
      </c>
      <c r="Z264" s="453" t="s">
        <v>49</v>
      </c>
      <c r="AA264" s="453">
        <v>12</v>
      </c>
      <c r="AB264" s="541" t="s">
        <v>102</v>
      </c>
      <c r="AC264" s="454"/>
      <c r="AD264" s="672">
        <f t="shared" ref="AD264:AF265" si="71">AD265</f>
        <v>984.7</v>
      </c>
      <c r="AE264" s="634">
        <f t="shared" si="71"/>
        <v>377</v>
      </c>
      <c r="AF264" s="645">
        <f t="shared" si="71"/>
        <v>377</v>
      </c>
      <c r="AG264" s="180"/>
      <c r="AH264" s="180"/>
      <c r="AI264" s="147"/>
    </row>
    <row r="265" spans="1:35" s="103" customFormat="1" x14ac:dyDescent="0.25">
      <c r="A265" s="47"/>
      <c r="B265" s="78"/>
      <c r="C265" s="79"/>
      <c r="D265" s="79"/>
      <c r="E265" s="80"/>
      <c r="F265" s="80"/>
      <c r="G265" s="84"/>
      <c r="H265" s="105"/>
      <c r="I265" s="49"/>
      <c r="J265" s="49"/>
      <c r="K265" s="49"/>
      <c r="L265" s="73"/>
      <c r="M265" s="49"/>
      <c r="N265" s="73"/>
      <c r="O265" s="82"/>
      <c r="P265" s="81"/>
      <c r="Q265" s="83"/>
      <c r="R265" s="87"/>
      <c r="S265" s="87"/>
      <c r="T265" s="87"/>
      <c r="U265" s="87"/>
      <c r="V265" s="87"/>
      <c r="W265" s="105"/>
      <c r="X265" s="457" t="s">
        <v>162</v>
      </c>
      <c r="Y265" s="452" t="s">
        <v>63</v>
      </c>
      <c r="Z265" s="453" t="s">
        <v>49</v>
      </c>
      <c r="AA265" s="453">
        <v>12</v>
      </c>
      <c r="AB265" s="541" t="s">
        <v>106</v>
      </c>
      <c r="AC265" s="454"/>
      <c r="AD265" s="672">
        <f t="shared" si="71"/>
        <v>984.7</v>
      </c>
      <c r="AE265" s="634">
        <f t="shared" si="71"/>
        <v>377</v>
      </c>
      <c r="AF265" s="645">
        <f t="shared" si="71"/>
        <v>377</v>
      </c>
      <c r="AG265" s="180"/>
      <c r="AH265" s="180"/>
      <c r="AI265" s="147"/>
    </row>
    <row r="266" spans="1:35" s="103" customFormat="1" x14ac:dyDescent="0.25">
      <c r="A266" s="47"/>
      <c r="B266" s="78"/>
      <c r="C266" s="79"/>
      <c r="D266" s="79"/>
      <c r="E266" s="80"/>
      <c r="F266" s="80"/>
      <c r="G266" s="84"/>
      <c r="H266" s="105"/>
      <c r="I266" s="49"/>
      <c r="J266" s="49"/>
      <c r="K266" s="49"/>
      <c r="L266" s="73"/>
      <c r="M266" s="49"/>
      <c r="N266" s="73"/>
      <c r="O266" s="82"/>
      <c r="P266" s="81"/>
      <c r="Q266" s="83"/>
      <c r="R266" s="87"/>
      <c r="S266" s="87"/>
      <c r="T266" s="87"/>
      <c r="U266" s="87"/>
      <c r="V266" s="87"/>
      <c r="W266" s="105"/>
      <c r="X266" s="661" t="s">
        <v>528</v>
      </c>
      <c r="Y266" s="452" t="s">
        <v>63</v>
      </c>
      <c r="Z266" s="453" t="s">
        <v>49</v>
      </c>
      <c r="AA266" s="453">
        <v>12</v>
      </c>
      <c r="AB266" s="541" t="s">
        <v>335</v>
      </c>
      <c r="AC266" s="473"/>
      <c r="AD266" s="672">
        <f>AD267+AD270</f>
        <v>984.7</v>
      </c>
      <c r="AE266" s="634">
        <f>AE267+AE270</f>
        <v>377</v>
      </c>
      <c r="AF266" s="645">
        <f>AF267+AF270</f>
        <v>377</v>
      </c>
      <c r="AG266" s="180"/>
      <c r="AH266" s="180"/>
      <c r="AI266" s="147"/>
    </row>
    <row r="267" spans="1:35" s="103" customFormat="1" x14ac:dyDescent="0.25">
      <c r="A267" s="47"/>
      <c r="B267" s="78"/>
      <c r="C267" s="79"/>
      <c r="D267" s="79"/>
      <c r="E267" s="80"/>
      <c r="F267" s="80"/>
      <c r="G267" s="84"/>
      <c r="H267" s="105"/>
      <c r="I267" s="49"/>
      <c r="J267" s="49"/>
      <c r="K267" s="49"/>
      <c r="L267" s="73"/>
      <c r="M267" s="49"/>
      <c r="N267" s="73"/>
      <c r="O267" s="82"/>
      <c r="P267" s="81"/>
      <c r="Q267" s="83"/>
      <c r="R267" s="87"/>
      <c r="S267" s="87"/>
      <c r="T267" s="87"/>
      <c r="U267" s="87"/>
      <c r="V267" s="87"/>
      <c r="W267" s="105"/>
      <c r="X267" s="466" t="s">
        <v>246</v>
      </c>
      <c r="Y267" s="452" t="s">
        <v>63</v>
      </c>
      <c r="Z267" s="453" t="s">
        <v>49</v>
      </c>
      <c r="AA267" s="453">
        <v>12</v>
      </c>
      <c r="AB267" s="542" t="s">
        <v>334</v>
      </c>
      <c r="AC267" s="482"/>
      <c r="AD267" s="672">
        <f t="shared" ref="AD267:AF268" si="72">AD268</f>
        <v>607.70000000000005</v>
      </c>
      <c r="AE267" s="634">
        <f t="shared" si="72"/>
        <v>0</v>
      </c>
      <c r="AF267" s="645">
        <f t="shared" si="72"/>
        <v>0</v>
      </c>
      <c r="AG267" s="180"/>
      <c r="AH267" s="180"/>
      <c r="AI267" s="147"/>
    </row>
    <row r="268" spans="1:35" s="103" customFormat="1" x14ac:dyDescent="0.25">
      <c r="A268" s="47"/>
      <c r="B268" s="78"/>
      <c r="C268" s="79"/>
      <c r="D268" s="79"/>
      <c r="E268" s="80"/>
      <c r="F268" s="80"/>
      <c r="G268" s="84"/>
      <c r="H268" s="105"/>
      <c r="I268" s="49"/>
      <c r="J268" s="49"/>
      <c r="K268" s="49"/>
      <c r="L268" s="73"/>
      <c r="M268" s="49"/>
      <c r="N268" s="73"/>
      <c r="O268" s="82"/>
      <c r="P268" s="81"/>
      <c r="Q268" s="83"/>
      <c r="R268" s="87"/>
      <c r="S268" s="87"/>
      <c r="T268" s="87"/>
      <c r="U268" s="87"/>
      <c r="V268" s="87"/>
      <c r="W268" s="105"/>
      <c r="X268" s="451" t="s">
        <v>120</v>
      </c>
      <c r="Y268" s="452" t="s">
        <v>63</v>
      </c>
      <c r="Z268" s="453" t="s">
        <v>49</v>
      </c>
      <c r="AA268" s="453">
        <v>12</v>
      </c>
      <c r="AB268" s="542" t="s">
        <v>334</v>
      </c>
      <c r="AC268" s="454">
        <v>200</v>
      </c>
      <c r="AD268" s="672">
        <f t="shared" si="72"/>
        <v>607.70000000000005</v>
      </c>
      <c r="AE268" s="634">
        <f t="shared" si="72"/>
        <v>0</v>
      </c>
      <c r="AF268" s="645">
        <f t="shared" si="72"/>
        <v>0</v>
      </c>
      <c r="AG268" s="269"/>
      <c r="AH268" s="180"/>
      <c r="AI268" s="147"/>
    </row>
    <row r="269" spans="1:35" s="103" customFormat="1" ht="31.5" x14ac:dyDescent="0.25">
      <c r="A269" s="47"/>
      <c r="B269" s="78"/>
      <c r="C269" s="79"/>
      <c r="D269" s="79"/>
      <c r="E269" s="80"/>
      <c r="F269" s="80"/>
      <c r="G269" s="84"/>
      <c r="H269" s="105"/>
      <c r="I269" s="49"/>
      <c r="J269" s="49"/>
      <c r="K269" s="49"/>
      <c r="L269" s="73"/>
      <c r="M269" s="49"/>
      <c r="N269" s="73"/>
      <c r="O269" s="82"/>
      <c r="P269" s="81"/>
      <c r="Q269" s="83"/>
      <c r="R269" s="87"/>
      <c r="S269" s="87"/>
      <c r="T269" s="87"/>
      <c r="U269" s="87"/>
      <c r="V269" s="87"/>
      <c r="W269" s="105"/>
      <c r="X269" s="451" t="s">
        <v>52</v>
      </c>
      <c r="Y269" s="452" t="s">
        <v>63</v>
      </c>
      <c r="Z269" s="453" t="s">
        <v>49</v>
      </c>
      <c r="AA269" s="453">
        <v>12</v>
      </c>
      <c r="AB269" s="542" t="s">
        <v>334</v>
      </c>
      <c r="AC269" s="454">
        <v>240</v>
      </c>
      <c r="AD269" s="672">
        <v>607.70000000000005</v>
      </c>
      <c r="AE269" s="634">
        <v>0</v>
      </c>
      <c r="AF269" s="645">
        <v>0</v>
      </c>
      <c r="AG269" s="180"/>
      <c r="AH269" s="180"/>
      <c r="AI269" s="147"/>
    </row>
    <row r="270" spans="1:35" s="103" customFormat="1" ht="47.25" x14ac:dyDescent="0.25">
      <c r="A270" s="47"/>
      <c r="B270" s="78"/>
      <c r="C270" s="79"/>
      <c r="D270" s="79"/>
      <c r="E270" s="80"/>
      <c r="F270" s="80"/>
      <c r="G270" s="84"/>
      <c r="H270" s="105"/>
      <c r="I270" s="49"/>
      <c r="J270" s="49"/>
      <c r="K270" s="49"/>
      <c r="L270" s="73"/>
      <c r="M270" s="49"/>
      <c r="N270" s="73"/>
      <c r="O270" s="82"/>
      <c r="P270" s="81"/>
      <c r="Q270" s="83"/>
      <c r="R270" s="87"/>
      <c r="S270" s="87"/>
      <c r="T270" s="87"/>
      <c r="U270" s="87"/>
      <c r="V270" s="87"/>
      <c r="W270" s="105"/>
      <c r="X270" s="451" t="s">
        <v>360</v>
      </c>
      <c r="Y270" s="452" t="s">
        <v>63</v>
      </c>
      <c r="Z270" s="453" t="s">
        <v>49</v>
      </c>
      <c r="AA270" s="453">
        <v>12</v>
      </c>
      <c r="AB270" s="541" t="s">
        <v>359</v>
      </c>
      <c r="AC270" s="454"/>
      <c r="AD270" s="672">
        <f t="shared" ref="AD270:AF271" si="73">AD271</f>
        <v>377</v>
      </c>
      <c r="AE270" s="634">
        <f t="shared" si="73"/>
        <v>377</v>
      </c>
      <c r="AF270" s="645">
        <f t="shared" si="73"/>
        <v>377</v>
      </c>
      <c r="AG270" s="180"/>
      <c r="AH270" s="180"/>
      <c r="AI270" s="147"/>
    </row>
    <row r="271" spans="1:35" s="103" customFormat="1" x14ac:dyDescent="0.25">
      <c r="A271" s="47"/>
      <c r="B271" s="78"/>
      <c r="C271" s="79"/>
      <c r="D271" s="79"/>
      <c r="E271" s="80"/>
      <c r="F271" s="80"/>
      <c r="G271" s="84"/>
      <c r="H271" s="105"/>
      <c r="I271" s="49"/>
      <c r="J271" s="49"/>
      <c r="K271" s="49"/>
      <c r="L271" s="73"/>
      <c r="M271" s="49"/>
      <c r="N271" s="73"/>
      <c r="O271" s="82"/>
      <c r="P271" s="81"/>
      <c r="Q271" s="83"/>
      <c r="R271" s="87"/>
      <c r="S271" s="87"/>
      <c r="T271" s="87"/>
      <c r="U271" s="87"/>
      <c r="V271" s="87"/>
      <c r="W271" s="105"/>
      <c r="X271" s="451" t="s">
        <v>120</v>
      </c>
      <c r="Y271" s="452" t="s">
        <v>63</v>
      </c>
      <c r="Z271" s="453" t="s">
        <v>49</v>
      </c>
      <c r="AA271" s="453">
        <v>12</v>
      </c>
      <c r="AB271" s="541" t="s">
        <v>359</v>
      </c>
      <c r="AC271" s="454">
        <v>200</v>
      </c>
      <c r="AD271" s="672">
        <f t="shared" si="73"/>
        <v>377</v>
      </c>
      <c r="AE271" s="634">
        <f t="shared" si="73"/>
        <v>377</v>
      </c>
      <c r="AF271" s="645">
        <f t="shared" si="73"/>
        <v>377</v>
      </c>
      <c r="AG271" s="180"/>
      <c r="AH271" s="180"/>
      <c r="AI271" s="147"/>
    </row>
    <row r="272" spans="1:35" s="103" customFormat="1" ht="31.5" x14ac:dyDescent="0.25">
      <c r="A272" s="47"/>
      <c r="B272" s="78"/>
      <c r="C272" s="79"/>
      <c r="D272" s="79"/>
      <c r="E272" s="80"/>
      <c r="F272" s="80"/>
      <c r="G272" s="84"/>
      <c r="H272" s="105"/>
      <c r="I272" s="49"/>
      <c r="J272" s="49"/>
      <c r="K272" s="49"/>
      <c r="L272" s="73"/>
      <c r="M272" s="49"/>
      <c r="N272" s="73"/>
      <c r="O272" s="82"/>
      <c r="P272" s="81"/>
      <c r="Q272" s="83"/>
      <c r="R272" s="87"/>
      <c r="S272" s="87"/>
      <c r="T272" s="87"/>
      <c r="U272" s="87"/>
      <c r="V272" s="87"/>
      <c r="W272" s="105"/>
      <c r="X272" s="451" t="s">
        <v>52</v>
      </c>
      <c r="Y272" s="452" t="s">
        <v>63</v>
      </c>
      <c r="Z272" s="453" t="s">
        <v>49</v>
      </c>
      <c r="AA272" s="453">
        <v>12</v>
      </c>
      <c r="AB272" s="541" t="s">
        <v>359</v>
      </c>
      <c r="AC272" s="454">
        <v>240</v>
      </c>
      <c r="AD272" s="672">
        <v>377</v>
      </c>
      <c r="AE272" s="634">
        <v>377</v>
      </c>
      <c r="AF272" s="645">
        <v>377</v>
      </c>
      <c r="AG272" s="180"/>
      <c r="AH272" s="180"/>
      <c r="AI272" s="147"/>
    </row>
    <row r="273" spans="1:35" s="77" customFormat="1" x14ac:dyDescent="0.25">
      <c r="A273" s="111"/>
      <c r="B273" s="69"/>
      <c r="C273" s="71"/>
      <c r="D273" s="71"/>
      <c r="E273" s="72"/>
      <c r="F273" s="71"/>
      <c r="G273" s="76"/>
      <c r="H273" s="112"/>
      <c r="I273" s="113"/>
      <c r="J273" s="113"/>
      <c r="K273" s="113"/>
      <c r="L273" s="73"/>
      <c r="M273" s="113"/>
      <c r="N273" s="73"/>
      <c r="O273" s="114"/>
      <c r="P273" s="73"/>
      <c r="Q273" s="75"/>
      <c r="R273" s="95"/>
      <c r="S273" s="95"/>
      <c r="T273" s="95"/>
      <c r="U273" s="95"/>
      <c r="V273" s="95"/>
      <c r="W273" s="112"/>
      <c r="X273" s="653" t="s">
        <v>3</v>
      </c>
      <c r="Y273" s="448" t="s">
        <v>63</v>
      </c>
      <c r="Z273" s="471" t="s">
        <v>5</v>
      </c>
      <c r="AA273" s="471"/>
      <c r="AB273" s="539"/>
      <c r="AC273" s="450"/>
      <c r="AD273" s="671">
        <f>AD274+AD287</f>
        <v>366123.5</v>
      </c>
      <c r="AE273" s="633">
        <f t="shared" ref="AE273:AF273" si="74">AE274+AE287</f>
        <v>302552</v>
      </c>
      <c r="AF273" s="644">
        <f t="shared" si="74"/>
        <v>314804</v>
      </c>
      <c r="AG273" s="205"/>
      <c r="AH273" s="205"/>
      <c r="AI273" s="147"/>
    </row>
    <row r="274" spans="1:35" s="77" customFormat="1" x14ac:dyDescent="0.25">
      <c r="A274" s="111"/>
      <c r="B274" s="69"/>
      <c r="C274" s="71"/>
      <c r="D274" s="71"/>
      <c r="E274" s="72"/>
      <c r="F274" s="71"/>
      <c r="G274" s="76"/>
      <c r="H274" s="112"/>
      <c r="I274" s="113"/>
      <c r="J274" s="113"/>
      <c r="K274" s="113"/>
      <c r="L274" s="73"/>
      <c r="M274" s="113"/>
      <c r="N274" s="73"/>
      <c r="O274" s="114"/>
      <c r="P274" s="73"/>
      <c r="Q274" s="75"/>
      <c r="R274" s="95"/>
      <c r="S274" s="95"/>
      <c r="T274" s="95"/>
      <c r="U274" s="95"/>
      <c r="V274" s="95"/>
      <c r="W274" s="112"/>
      <c r="X274" s="451" t="s">
        <v>69</v>
      </c>
      <c r="Y274" s="452" t="s">
        <v>63</v>
      </c>
      <c r="Z274" s="453" t="s">
        <v>5</v>
      </c>
      <c r="AA274" s="453" t="s">
        <v>29</v>
      </c>
      <c r="AB274" s="541"/>
      <c r="AC274" s="450"/>
      <c r="AD274" s="672">
        <f>AD275+AD281</f>
        <v>26564</v>
      </c>
      <c r="AE274" s="634">
        <f>AE275+AE281</f>
        <v>8300</v>
      </c>
      <c r="AF274" s="645">
        <f>AF275+AF281</f>
        <v>8300</v>
      </c>
      <c r="AG274" s="180"/>
      <c r="AH274" s="180"/>
      <c r="AI274" s="147"/>
    </row>
    <row r="275" spans="1:35" s="77" customFormat="1" x14ac:dyDescent="0.25">
      <c r="A275" s="111"/>
      <c r="B275" s="69"/>
      <c r="C275" s="71"/>
      <c r="D275" s="71"/>
      <c r="E275" s="72"/>
      <c r="F275" s="71"/>
      <c r="G275" s="76"/>
      <c r="H275" s="112"/>
      <c r="I275" s="113"/>
      <c r="J275" s="113"/>
      <c r="K275" s="113"/>
      <c r="L275" s="73"/>
      <c r="M275" s="113"/>
      <c r="N275" s="73"/>
      <c r="O275" s="114"/>
      <c r="P275" s="73"/>
      <c r="Q275" s="75"/>
      <c r="R275" s="95"/>
      <c r="S275" s="95"/>
      <c r="T275" s="95"/>
      <c r="U275" s="95"/>
      <c r="V275" s="95"/>
      <c r="W275" s="112"/>
      <c r="X275" s="457" t="s">
        <v>186</v>
      </c>
      <c r="Y275" s="452" t="s">
        <v>63</v>
      </c>
      <c r="Z275" s="453" t="s">
        <v>5</v>
      </c>
      <c r="AA275" s="453" t="s">
        <v>29</v>
      </c>
      <c r="AB275" s="542" t="s">
        <v>112</v>
      </c>
      <c r="AC275" s="450"/>
      <c r="AD275" s="672">
        <f t="shared" ref="AD275:AF279" si="75">AD276</f>
        <v>22100</v>
      </c>
      <c r="AE275" s="634">
        <f t="shared" si="75"/>
        <v>8300</v>
      </c>
      <c r="AF275" s="645">
        <f t="shared" si="75"/>
        <v>8300</v>
      </c>
      <c r="AG275" s="180"/>
      <c r="AH275" s="180"/>
      <c r="AI275" s="147"/>
    </row>
    <row r="276" spans="1:35" s="77" customFormat="1" x14ac:dyDescent="0.25">
      <c r="A276" s="111"/>
      <c r="B276" s="69"/>
      <c r="C276" s="71"/>
      <c r="D276" s="71"/>
      <c r="E276" s="72"/>
      <c r="F276" s="71"/>
      <c r="G276" s="76"/>
      <c r="H276" s="112"/>
      <c r="I276" s="113"/>
      <c r="J276" s="113"/>
      <c r="K276" s="113"/>
      <c r="L276" s="73"/>
      <c r="M276" s="113"/>
      <c r="N276" s="73"/>
      <c r="O276" s="114"/>
      <c r="P276" s="73"/>
      <c r="Q276" s="75"/>
      <c r="R276" s="95"/>
      <c r="S276" s="95"/>
      <c r="T276" s="95"/>
      <c r="U276" s="95"/>
      <c r="V276" s="95"/>
      <c r="W276" s="112"/>
      <c r="X276" s="659" t="s">
        <v>530</v>
      </c>
      <c r="Y276" s="452" t="s">
        <v>63</v>
      </c>
      <c r="Z276" s="453" t="s">
        <v>5</v>
      </c>
      <c r="AA276" s="453" t="s">
        <v>29</v>
      </c>
      <c r="AB276" s="542" t="s">
        <v>113</v>
      </c>
      <c r="AC276" s="450"/>
      <c r="AD276" s="672">
        <f t="shared" ref="AD276:AF277" si="76">AD277</f>
        <v>22100</v>
      </c>
      <c r="AE276" s="634">
        <f t="shared" si="76"/>
        <v>8300</v>
      </c>
      <c r="AF276" s="645">
        <f t="shared" si="76"/>
        <v>8300</v>
      </c>
      <c r="AG276" s="180"/>
      <c r="AH276" s="180"/>
      <c r="AI276" s="147"/>
    </row>
    <row r="277" spans="1:35" s="77" customFormat="1" ht="31.5" x14ac:dyDescent="0.25">
      <c r="A277" s="111"/>
      <c r="B277" s="69"/>
      <c r="C277" s="71"/>
      <c r="D277" s="71"/>
      <c r="E277" s="72"/>
      <c r="F277" s="71"/>
      <c r="G277" s="76"/>
      <c r="H277" s="112"/>
      <c r="I277" s="113"/>
      <c r="J277" s="113"/>
      <c r="K277" s="113"/>
      <c r="L277" s="73"/>
      <c r="M277" s="113"/>
      <c r="N277" s="73"/>
      <c r="O277" s="114"/>
      <c r="P277" s="73"/>
      <c r="Q277" s="75"/>
      <c r="R277" s="95"/>
      <c r="S277" s="95"/>
      <c r="T277" s="95"/>
      <c r="U277" s="95"/>
      <c r="V277" s="95"/>
      <c r="W277" s="112"/>
      <c r="X277" s="466" t="s">
        <v>182</v>
      </c>
      <c r="Y277" s="452" t="s">
        <v>63</v>
      </c>
      <c r="Z277" s="453" t="s">
        <v>5</v>
      </c>
      <c r="AA277" s="453" t="s">
        <v>29</v>
      </c>
      <c r="AB277" s="542" t="s">
        <v>183</v>
      </c>
      <c r="AC277" s="450"/>
      <c r="AD277" s="672">
        <f t="shared" si="76"/>
        <v>22100</v>
      </c>
      <c r="AE277" s="634">
        <f t="shared" si="76"/>
        <v>8300</v>
      </c>
      <c r="AF277" s="645">
        <f t="shared" si="76"/>
        <v>8300</v>
      </c>
      <c r="AG277" s="180"/>
      <c r="AH277" s="180"/>
      <c r="AI277" s="147"/>
    </row>
    <row r="278" spans="1:35" s="77" customFormat="1" ht="31.5" x14ac:dyDescent="0.25">
      <c r="A278" s="141" t="s">
        <v>184</v>
      </c>
      <c r="B278" s="11" t="s">
        <v>59</v>
      </c>
      <c r="C278" s="1" t="s">
        <v>29</v>
      </c>
      <c r="D278" s="1">
        <v>13</v>
      </c>
      <c r="E278" s="139" t="s">
        <v>185</v>
      </c>
      <c r="F278" s="71"/>
      <c r="G278" s="76"/>
      <c r="H278" s="112"/>
      <c r="I278" s="113"/>
      <c r="J278" s="113"/>
      <c r="K278" s="113"/>
      <c r="L278" s="73"/>
      <c r="M278" s="113"/>
      <c r="N278" s="73"/>
      <c r="O278" s="114"/>
      <c r="P278" s="73"/>
      <c r="Q278" s="75"/>
      <c r="R278" s="95"/>
      <c r="S278" s="95"/>
      <c r="T278" s="95"/>
      <c r="U278" s="95"/>
      <c r="V278" s="95"/>
      <c r="W278" s="112"/>
      <c r="X278" s="465" t="s">
        <v>433</v>
      </c>
      <c r="Y278" s="452" t="s">
        <v>63</v>
      </c>
      <c r="Z278" s="453" t="s">
        <v>5</v>
      </c>
      <c r="AA278" s="453" t="s">
        <v>29</v>
      </c>
      <c r="AB278" s="542" t="s">
        <v>386</v>
      </c>
      <c r="AC278" s="450"/>
      <c r="AD278" s="672">
        <f t="shared" si="75"/>
        <v>22100</v>
      </c>
      <c r="AE278" s="634">
        <f t="shared" si="75"/>
        <v>8300</v>
      </c>
      <c r="AF278" s="645">
        <f t="shared" si="75"/>
        <v>8300</v>
      </c>
      <c r="AG278" s="180"/>
      <c r="AH278" s="180"/>
      <c r="AI278" s="147"/>
    </row>
    <row r="279" spans="1:35" s="77" customFormat="1" x14ac:dyDescent="0.25">
      <c r="A279" s="111"/>
      <c r="B279" s="69"/>
      <c r="C279" s="71"/>
      <c r="D279" s="71"/>
      <c r="E279" s="72"/>
      <c r="F279" s="71"/>
      <c r="G279" s="76"/>
      <c r="H279" s="112"/>
      <c r="I279" s="113"/>
      <c r="J279" s="113"/>
      <c r="K279" s="113"/>
      <c r="L279" s="73"/>
      <c r="M279" s="113"/>
      <c r="N279" s="73"/>
      <c r="O279" s="114"/>
      <c r="P279" s="73"/>
      <c r="Q279" s="75"/>
      <c r="R279" s="95"/>
      <c r="S279" s="95"/>
      <c r="T279" s="95"/>
      <c r="U279" s="95"/>
      <c r="V279" s="95"/>
      <c r="W279" s="112"/>
      <c r="X279" s="451" t="s">
        <v>120</v>
      </c>
      <c r="Y279" s="452" t="s">
        <v>63</v>
      </c>
      <c r="Z279" s="453" t="s">
        <v>5</v>
      </c>
      <c r="AA279" s="453" t="s">
        <v>29</v>
      </c>
      <c r="AB279" s="542" t="s">
        <v>386</v>
      </c>
      <c r="AC279" s="475">
        <v>200</v>
      </c>
      <c r="AD279" s="672">
        <f t="shared" si="75"/>
        <v>22100</v>
      </c>
      <c r="AE279" s="634">
        <f t="shared" si="75"/>
        <v>8300</v>
      </c>
      <c r="AF279" s="645">
        <f t="shared" si="75"/>
        <v>8300</v>
      </c>
      <c r="AG279" s="180"/>
      <c r="AH279" s="180"/>
      <c r="AI279" s="147"/>
    </row>
    <row r="280" spans="1:35" s="77" customFormat="1" ht="31.5" x14ac:dyDescent="0.25">
      <c r="A280" s="111"/>
      <c r="B280" s="69"/>
      <c r="C280" s="71"/>
      <c r="D280" s="71"/>
      <c r="E280" s="72"/>
      <c r="F280" s="71"/>
      <c r="G280" s="76"/>
      <c r="H280" s="112"/>
      <c r="I280" s="113"/>
      <c r="J280" s="113"/>
      <c r="K280" s="113"/>
      <c r="L280" s="73"/>
      <c r="M280" s="113"/>
      <c r="N280" s="73"/>
      <c r="O280" s="114"/>
      <c r="P280" s="73"/>
      <c r="Q280" s="75"/>
      <c r="R280" s="95"/>
      <c r="S280" s="95"/>
      <c r="T280" s="95"/>
      <c r="U280" s="95"/>
      <c r="V280" s="95"/>
      <c r="W280" s="112"/>
      <c r="X280" s="451" t="s">
        <v>52</v>
      </c>
      <c r="Y280" s="452" t="s">
        <v>63</v>
      </c>
      <c r="Z280" s="453" t="s">
        <v>5</v>
      </c>
      <c r="AA280" s="453" t="s">
        <v>29</v>
      </c>
      <c r="AB280" s="542" t="s">
        <v>386</v>
      </c>
      <c r="AC280" s="475">
        <v>240</v>
      </c>
      <c r="AD280" s="672">
        <v>22100</v>
      </c>
      <c r="AE280" s="634">
        <v>8300</v>
      </c>
      <c r="AF280" s="645">
        <v>8300</v>
      </c>
      <c r="AG280" s="180"/>
      <c r="AH280" s="180"/>
      <c r="AI280" s="147"/>
    </row>
    <row r="281" spans="1:35" s="118" customFormat="1" x14ac:dyDescent="0.25">
      <c r="A281" s="115"/>
      <c r="B281" s="116"/>
      <c r="C281" s="117"/>
      <c r="D281" s="117"/>
      <c r="E281" s="117"/>
      <c r="F281" s="117"/>
      <c r="G281" s="117"/>
      <c r="I281" s="119"/>
      <c r="J281" s="119"/>
      <c r="K281" s="119"/>
      <c r="L281" s="119"/>
      <c r="M281" s="119"/>
      <c r="N281" s="119"/>
      <c r="O281" s="120"/>
      <c r="P281" s="121"/>
      <c r="R281" s="122"/>
      <c r="S281" s="123"/>
      <c r="W281" s="124"/>
      <c r="X281" s="457" t="s">
        <v>242</v>
      </c>
      <c r="Y281" s="452" t="s">
        <v>63</v>
      </c>
      <c r="Z281" s="453" t="s">
        <v>5</v>
      </c>
      <c r="AA281" s="453" t="s">
        <v>29</v>
      </c>
      <c r="AB281" s="542" t="s">
        <v>243</v>
      </c>
      <c r="AC281" s="482"/>
      <c r="AD281" s="672">
        <f>AD282</f>
        <v>4464</v>
      </c>
      <c r="AE281" s="634">
        <f>AE284</f>
        <v>0</v>
      </c>
      <c r="AF281" s="645">
        <f>AF284</f>
        <v>0</v>
      </c>
      <c r="AG281" s="180"/>
      <c r="AH281" s="180"/>
      <c r="AI281" s="147"/>
    </row>
    <row r="282" spans="1:35" s="118" customFormat="1" ht="31.5" x14ac:dyDescent="0.25">
      <c r="A282" s="115"/>
      <c r="B282" s="116"/>
      <c r="C282" s="117"/>
      <c r="D282" s="117"/>
      <c r="E282" s="117"/>
      <c r="F282" s="117"/>
      <c r="G282" s="117"/>
      <c r="I282" s="119"/>
      <c r="J282" s="119"/>
      <c r="K282" s="119"/>
      <c r="L282" s="119"/>
      <c r="M282" s="119"/>
      <c r="N282" s="119"/>
      <c r="O282" s="120"/>
      <c r="P282" s="121"/>
      <c r="R282" s="122"/>
      <c r="S282" s="123"/>
      <c r="W282" s="124"/>
      <c r="X282" s="457" t="s">
        <v>540</v>
      </c>
      <c r="Y282" s="452" t="s">
        <v>63</v>
      </c>
      <c r="Z282" s="453" t="s">
        <v>5</v>
      </c>
      <c r="AA282" s="453" t="s">
        <v>29</v>
      </c>
      <c r="AB282" s="542" t="s">
        <v>244</v>
      </c>
      <c r="AC282" s="482"/>
      <c r="AD282" s="672">
        <f>AD283</f>
        <v>4464</v>
      </c>
      <c r="AE282" s="634">
        <f t="shared" ref="AE282:AF282" si="77">AE283</f>
        <v>0</v>
      </c>
      <c r="AF282" s="645">
        <f t="shared" si="77"/>
        <v>0</v>
      </c>
      <c r="AG282" s="506"/>
      <c r="AH282" s="506"/>
      <c r="AI282" s="502"/>
    </row>
    <row r="283" spans="1:35" s="118" customFormat="1" ht="31.5" x14ac:dyDescent="0.25">
      <c r="A283" s="115"/>
      <c r="B283" s="116"/>
      <c r="C283" s="117"/>
      <c r="D283" s="117"/>
      <c r="E283" s="117"/>
      <c r="F283" s="117"/>
      <c r="G283" s="117"/>
      <c r="I283" s="119"/>
      <c r="J283" s="119"/>
      <c r="K283" s="119"/>
      <c r="L283" s="119"/>
      <c r="M283" s="119"/>
      <c r="N283" s="119"/>
      <c r="O283" s="120"/>
      <c r="P283" s="121"/>
      <c r="R283" s="122"/>
      <c r="S283" s="123"/>
      <c r="W283" s="124"/>
      <c r="X283" s="457" t="s">
        <v>683</v>
      </c>
      <c r="Y283" s="452" t="s">
        <v>63</v>
      </c>
      <c r="Z283" s="453" t="s">
        <v>5</v>
      </c>
      <c r="AA283" s="453" t="s">
        <v>29</v>
      </c>
      <c r="AB283" s="542" t="s">
        <v>542</v>
      </c>
      <c r="AC283" s="482"/>
      <c r="AD283" s="672">
        <f>AD284</f>
        <v>4464</v>
      </c>
      <c r="AE283" s="634">
        <f t="shared" ref="AE283:AF283" si="78">AE284</f>
        <v>0</v>
      </c>
      <c r="AF283" s="645">
        <f t="shared" si="78"/>
        <v>0</v>
      </c>
      <c r="AG283" s="506"/>
      <c r="AH283" s="506"/>
      <c r="AI283" s="502"/>
    </row>
    <row r="284" spans="1:35" s="118" customFormat="1" x14ac:dyDescent="0.25">
      <c r="A284" s="115"/>
      <c r="B284" s="116"/>
      <c r="C284" s="117"/>
      <c r="D284" s="117"/>
      <c r="E284" s="117"/>
      <c r="F284" s="117"/>
      <c r="G284" s="117"/>
      <c r="I284" s="119"/>
      <c r="J284" s="119"/>
      <c r="K284" s="119"/>
      <c r="L284" s="119"/>
      <c r="M284" s="119"/>
      <c r="N284" s="119"/>
      <c r="O284" s="120"/>
      <c r="P284" s="121"/>
      <c r="R284" s="122"/>
      <c r="S284" s="123"/>
      <c r="W284" s="124"/>
      <c r="X284" s="466" t="s">
        <v>607</v>
      </c>
      <c r="Y284" s="452" t="s">
        <v>63</v>
      </c>
      <c r="Z284" s="453" t="s">
        <v>5</v>
      </c>
      <c r="AA284" s="453" t="s">
        <v>29</v>
      </c>
      <c r="AB284" s="542" t="s">
        <v>682</v>
      </c>
      <c r="AC284" s="473"/>
      <c r="AD284" s="672">
        <f t="shared" ref="AD284:AF285" si="79">AD285</f>
        <v>4464</v>
      </c>
      <c r="AE284" s="634">
        <f t="shared" si="79"/>
        <v>0</v>
      </c>
      <c r="AF284" s="645">
        <f t="shared" si="79"/>
        <v>0</v>
      </c>
      <c r="AG284" s="180"/>
      <c r="AH284" s="180"/>
      <c r="AI284" s="147"/>
    </row>
    <row r="285" spans="1:35" s="118" customFormat="1" x14ac:dyDescent="0.25">
      <c r="A285" s="115"/>
      <c r="B285" s="116"/>
      <c r="C285" s="117"/>
      <c r="D285" s="117"/>
      <c r="E285" s="117"/>
      <c r="F285" s="117"/>
      <c r="G285" s="117"/>
      <c r="I285" s="119"/>
      <c r="J285" s="119"/>
      <c r="K285" s="119"/>
      <c r="L285" s="119"/>
      <c r="M285" s="119"/>
      <c r="N285" s="119"/>
      <c r="O285" s="120"/>
      <c r="P285" s="121"/>
      <c r="R285" s="122"/>
      <c r="S285" s="123"/>
      <c r="W285" s="124"/>
      <c r="X285" s="451" t="s">
        <v>42</v>
      </c>
      <c r="Y285" s="452" t="s">
        <v>63</v>
      </c>
      <c r="Z285" s="453" t="s">
        <v>5</v>
      </c>
      <c r="AA285" s="453" t="s">
        <v>29</v>
      </c>
      <c r="AB285" s="542" t="s">
        <v>682</v>
      </c>
      <c r="AC285" s="473" t="s">
        <v>347</v>
      </c>
      <c r="AD285" s="672">
        <f t="shared" si="79"/>
        <v>4464</v>
      </c>
      <c r="AE285" s="634">
        <f t="shared" si="79"/>
        <v>0</v>
      </c>
      <c r="AF285" s="645">
        <f t="shared" si="79"/>
        <v>0</v>
      </c>
      <c r="AG285" s="180"/>
      <c r="AH285" s="180"/>
      <c r="AI285" s="147"/>
    </row>
    <row r="286" spans="1:35" s="118" customFormat="1" ht="31.5" x14ac:dyDescent="0.25">
      <c r="A286" s="115"/>
      <c r="B286" s="116"/>
      <c r="C286" s="117"/>
      <c r="D286" s="117"/>
      <c r="E286" s="117"/>
      <c r="F286" s="117"/>
      <c r="G286" s="117"/>
      <c r="I286" s="119"/>
      <c r="J286" s="119"/>
      <c r="K286" s="119"/>
      <c r="L286" s="119"/>
      <c r="M286" s="119"/>
      <c r="N286" s="119"/>
      <c r="O286" s="120"/>
      <c r="P286" s="121"/>
      <c r="R286" s="122"/>
      <c r="S286" s="123"/>
      <c r="W286" s="124"/>
      <c r="X286" s="451" t="s">
        <v>121</v>
      </c>
      <c r="Y286" s="452" t="s">
        <v>63</v>
      </c>
      <c r="Z286" s="453" t="s">
        <v>5</v>
      </c>
      <c r="AA286" s="453" t="s">
        <v>29</v>
      </c>
      <c r="AB286" s="542" t="s">
        <v>682</v>
      </c>
      <c r="AC286" s="473" t="s">
        <v>348</v>
      </c>
      <c r="AD286" s="672">
        <v>4464</v>
      </c>
      <c r="AE286" s="634">
        <v>0</v>
      </c>
      <c r="AF286" s="645">
        <v>0</v>
      </c>
      <c r="AG286" s="180"/>
      <c r="AH286" s="180"/>
      <c r="AI286" s="147"/>
    </row>
    <row r="287" spans="1:35" s="77" customFormat="1" x14ac:dyDescent="0.25">
      <c r="A287" s="111"/>
      <c r="B287" s="69"/>
      <c r="C287" s="71"/>
      <c r="D287" s="71"/>
      <c r="E287" s="72"/>
      <c r="F287" s="71"/>
      <c r="G287" s="76"/>
      <c r="H287" s="112"/>
      <c r="I287" s="113"/>
      <c r="J287" s="113"/>
      <c r="K287" s="113"/>
      <c r="L287" s="73"/>
      <c r="M287" s="113"/>
      <c r="N287" s="73"/>
      <c r="O287" s="114"/>
      <c r="P287" s="73"/>
      <c r="Q287" s="75"/>
      <c r="R287" s="95"/>
      <c r="S287" s="95"/>
      <c r="T287" s="95"/>
      <c r="U287" s="95"/>
      <c r="V287" s="95"/>
      <c r="W287" s="112"/>
      <c r="X287" s="451" t="s">
        <v>18</v>
      </c>
      <c r="Y287" s="452" t="s">
        <v>63</v>
      </c>
      <c r="Z287" s="453" t="s">
        <v>5</v>
      </c>
      <c r="AA287" s="453" t="s">
        <v>7</v>
      </c>
      <c r="AB287" s="545"/>
      <c r="AC287" s="473"/>
      <c r="AD287" s="672">
        <f>AD301+AD288+AD313+AD307</f>
        <v>339559.5</v>
      </c>
      <c r="AE287" s="634">
        <f>AE301+AE288+AE313+AE307</f>
        <v>294252</v>
      </c>
      <c r="AF287" s="645">
        <f>AF301+AF288+AF313+AF307</f>
        <v>306504</v>
      </c>
      <c r="AG287" s="180"/>
      <c r="AH287" s="180"/>
      <c r="AI287" s="147"/>
    </row>
    <row r="288" spans="1:35" s="77" customFormat="1" ht="31.5" x14ac:dyDescent="0.25">
      <c r="A288" s="111"/>
      <c r="B288" s="69"/>
      <c r="C288" s="71"/>
      <c r="D288" s="71"/>
      <c r="E288" s="72"/>
      <c r="F288" s="71"/>
      <c r="G288" s="76"/>
      <c r="H288" s="112"/>
      <c r="I288" s="113"/>
      <c r="J288" s="113"/>
      <c r="K288" s="113"/>
      <c r="L288" s="73"/>
      <c r="M288" s="113"/>
      <c r="N288" s="73"/>
      <c r="O288" s="114"/>
      <c r="P288" s="73"/>
      <c r="Q288" s="75"/>
      <c r="R288" s="95"/>
      <c r="S288" s="95"/>
      <c r="T288" s="95"/>
      <c r="U288" s="95"/>
      <c r="V288" s="95"/>
      <c r="W288" s="112"/>
      <c r="X288" s="459" t="s">
        <v>161</v>
      </c>
      <c r="Y288" s="452" t="s">
        <v>63</v>
      </c>
      <c r="Z288" s="453" t="s">
        <v>5</v>
      </c>
      <c r="AA288" s="453" t="s">
        <v>7</v>
      </c>
      <c r="AB288" s="541" t="s">
        <v>102</v>
      </c>
      <c r="AC288" s="473"/>
      <c r="AD288" s="672">
        <f t="shared" ref="AD288:AF289" si="80">AD289</f>
        <v>23034.3</v>
      </c>
      <c r="AE288" s="634">
        <f t="shared" si="80"/>
        <v>4741</v>
      </c>
      <c r="AF288" s="645">
        <f t="shared" si="80"/>
        <v>4741</v>
      </c>
      <c r="AG288" s="180"/>
      <c r="AH288" s="180"/>
      <c r="AI288" s="147"/>
    </row>
    <row r="289" spans="1:36" s="77" customFormat="1" x14ac:dyDescent="0.25">
      <c r="A289" s="111"/>
      <c r="B289" s="69"/>
      <c r="C289" s="71"/>
      <c r="D289" s="71"/>
      <c r="E289" s="72"/>
      <c r="F289" s="71"/>
      <c r="G289" s="76"/>
      <c r="H289" s="112"/>
      <c r="I289" s="113"/>
      <c r="J289" s="113"/>
      <c r="K289" s="113"/>
      <c r="L289" s="73"/>
      <c r="M289" s="113"/>
      <c r="N289" s="73"/>
      <c r="O289" s="114"/>
      <c r="P289" s="73"/>
      <c r="Q289" s="75"/>
      <c r="R289" s="95"/>
      <c r="S289" s="95"/>
      <c r="T289" s="95"/>
      <c r="U289" s="95"/>
      <c r="V289" s="95"/>
      <c r="W289" s="112"/>
      <c r="X289" s="457" t="s">
        <v>162</v>
      </c>
      <c r="Y289" s="452" t="s">
        <v>63</v>
      </c>
      <c r="Z289" s="453" t="s">
        <v>5</v>
      </c>
      <c r="AA289" s="453" t="s">
        <v>7</v>
      </c>
      <c r="AB289" s="541" t="s">
        <v>106</v>
      </c>
      <c r="AC289" s="473"/>
      <c r="AD289" s="672">
        <f t="shared" si="80"/>
        <v>23034.3</v>
      </c>
      <c r="AE289" s="634">
        <f t="shared" si="80"/>
        <v>4741</v>
      </c>
      <c r="AF289" s="645">
        <f t="shared" si="80"/>
        <v>4741</v>
      </c>
      <c r="AG289" s="180"/>
      <c r="AH289" s="180"/>
      <c r="AI289" s="147"/>
    </row>
    <row r="290" spans="1:36" s="77" customFormat="1" x14ac:dyDescent="0.25">
      <c r="A290" s="111"/>
      <c r="B290" s="69"/>
      <c r="C290" s="71"/>
      <c r="D290" s="71"/>
      <c r="E290" s="72"/>
      <c r="F290" s="71"/>
      <c r="G290" s="76"/>
      <c r="H290" s="112"/>
      <c r="I290" s="113"/>
      <c r="J290" s="113"/>
      <c r="K290" s="113"/>
      <c r="L290" s="73"/>
      <c r="M290" s="113"/>
      <c r="N290" s="73"/>
      <c r="O290" s="114"/>
      <c r="P290" s="73"/>
      <c r="Q290" s="75"/>
      <c r="R290" s="95"/>
      <c r="S290" s="95"/>
      <c r="T290" s="95"/>
      <c r="U290" s="95"/>
      <c r="V290" s="95"/>
      <c r="W290" s="112"/>
      <c r="X290" s="662" t="s">
        <v>528</v>
      </c>
      <c r="Y290" s="452" t="s">
        <v>63</v>
      </c>
      <c r="Z290" s="453" t="s">
        <v>5</v>
      </c>
      <c r="AA290" s="453" t="s">
        <v>7</v>
      </c>
      <c r="AB290" s="541" t="s">
        <v>335</v>
      </c>
      <c r="AC290" s="473"/>
      <c r="AD290" s="672">
        <f>AD291+AD294</f>
        <v>23034.3</v>
      </c>
      <c r="AE290" s="634">
        <f>AE291+AE294</f>
        <v>4741</v>
      </c>
      <c r="AF290" s="645">
        <f>AF291+AF294</f>
        <v>4741</v>
      </c>
      <c r="AG290" s="180"/>
      <c r="AH290" s="180"/>
      <c r="AI290" s="147"/>
    </row>
    <row r="291" spans="1:36" s="77" customFormat="1" x14ac:dyDescent="0.25">
      <c r="A291" s="111"/>
      <c r="B291" s="69"/>
      <c r="C291" s="71"/>
      <c r="D291" s="71"/>
      <c r="E291" s="72"/>
      <c r="F291" s="71"/>
      <c r="G291" s="76"/>
      <c r="H291" s="112"/>
      <c r="I291" s="113"/>
      <c r="J291" s="113"/>
      <c r="K291" s="113"/>
      <c r="L291" s="73"/>
      <c r="M291" s="113"/>
      <c r="N291" s="73"/>
      <c r="O291" s="114"/>
      <c r="P291" s="73"/>
      <c r="Q291" s="75"/>
      <c r="R291" s="95"/>
      <c r="S291" s="95"/>
      <c r="T291" s="95"/>
      <c r="U291" s="95"/>
      <c r="V291" s="95"/>
      <c r="W291" s="112"/>
      <c r="X291" s="466" t="s">
        <v>248</v>
      </c>
      <c r="Y291" s="452" t="s">
        <v>63</v>
      </c>
      <c r="Z291" s="453" t="s">
        <v>5</v>
      </c>
      <c r="AA291" s="453" t="s">
        <v>7</v>
      </c>
      <c r="AB291" s="541" t="s">
        <v>356</v>
      </c>
      <c r="AC291" s="473"/>
      <c r="AD291" s="672">
        <f t="shared" ref="AD291:AF292" si="81">AD292</f>
        <v>15638.8</v>
      </c>
      <c r="AE291" s="634">
        <f t="shared" si="81"/>
        <v>0</v>
      </c>
      <c r="AF291" s="645">
        <f t="shared" si="81"/>
        <v>0</v>
      </c>
      <c r="AG291" s="180"/>
      <c r="AH291" s="180"/>
      <c r="AI291" s="147"/>
    </row>
    <row r="292" spans="1:36" s="77" customFormat="1" x14ac:dyDescent="0.25">
      <c r="A292" s="111"/>
      <c r="B292" s="69"/>
      <c r="C292" s="71"/>
      <c r="D292" s="71"/>
      <c r="E292" s="72"/>
      <c r="F292" s="71"/>
      <c r="G292" s="76"/>
      <c r="H292" s="112"/>
      <c r="I292" s="113"/>
      <c r="J292" s="113"/>
      <c r="K292" s="113"/>
      <c r="L292" s="73"/>
      <c r="M292" s="113"/>
      <c r="N292" s="73"/>
      <c r="O292" s="114"/>
      <c r="P292" s="73"/>
      <c r="Q292" s="75"/>
      <c r="R292" s="95"/>
      <c r="S292" s="95"/>
      <c r="T292" s="95"/>
      <c r="U292" s="95"/>
      <c r="V292" s="95"/>
      <c r="W292" s="112"/>
      <c r="X292" s="451" t="s">
        <v>120</v>
      </c>
      <c r="Y292" s="452" t="s">
        <v>63</v>
      </c>
      <c r="Z292" s="453" t="s">
        <v>5</v>
      </c>
      <c r="AA292" s="453" t="s">
        <v>7</v>
      </c>
      <c r="AB292" s="541" t="s">
        <v>356</v>
      </c>
      <c r="AC292" s="473" t="s">
        <v>37</v>
      </c>
      <c r="AD292" s="672">
        <f t="shared" si="81"/>
        <v>15638.8</v>
      </c>
      <c r="AE292" s="634">
        <f t="shared" si="81"/>
        <v>0</v>
      </c>
      <c r="AF292" s="645">
        <f t="shared" si="81"/>
        <v>0</v>
      </c>
      <c r="AG292" s="180"/>
      <c r="AH292" s="180"/>
      <c r="AI292" s="147"/>
    </row>
    <row r="293" spans="1:36" s="77" customFormat="1" ht="31.5" x14ac:dyDescent="0.25">
      <c r="A293" s="111"/>
      <c r="B293" s="69"/>
      <c r="C293" s="71"/>
      <c r="D293" s="71"/>
      <c r="E293" s="72"/>
      <c r="F293" s="71"/>
      <c r="G293" s="76"/>
      <c r="H293" s="112"/>
      <c r="I293" s="113"/>
      <c r="J293" s="113"/>
      <c r="K293" s="113"/>
      <c r="L293" s="73"/>
      <c r="M293" s="113"/>
      <c r="N293" s="73"/>
      <c r="O293" s="114"/>
      <c r="P293" s="73"/>
      <c r="Q293" s="75"/>
      <c r="R293" s="95"/>
      <c r="S293" s="95"/>
      <c r="T293" s="95"/>
      <c r="U293" s="95"/>
      <c r="V293" s="95"/>
      <c r="W293" s="112"/>
      <c r="X293" s="451" t="s">
        <v>52</v>
      </c>
      <c r="Y293" s="452" t="s">
        <v>63</v>
      </c>
      <c r="Z293" s="453" t="s">
        <v>5</v>
      </c>
      <c r="AA293" s="453" t="s">
        <v>7</v>
      </c>
      <c r="AB293" s="541" t="s">
        <v>356</v>
      </c>
      <c r="AC293" s="473" t="s">
        <v>65</v>
      </c>
      <c r="AD293" s="672">
        <f>8549+189.8+6900</f>
        <v>15638.8</v>
      </c>
      <c r="AE293" s="634">
        <v>0</v>
      </c>
      <c r="AF293" s="645">
        <v>0</v>
      </c>
      <c r="AG293" s="266"/>
      <c r="AH293" s="180"/>
      <c r="AI293" s="147"/>
    </row>
    <row r="294" spans="1:36" s="77" customFormat="1" ht="31.5" x14ac:dyDescent="0.25">
      <c r="A294" s="111"/>
      <c r="B294" s="69"/>
      <c r="C294" s="71"/>
      <c r="D294" s="71"/>
      <c r="E294" s="72"/>
      <c r="F294" s="71"/>
      <c r="G294" s="76"/>
      <c r="H294" s="112"/>
      <c r="I294" s="113"/>
      <c r="J294" s="113"/>
      <c r="K294" s="113"/>
      <c r="L294" s="73"/>
      <c r="M294" s="113"/>
      <c r="N294" s="73"/>
      <c r="O294" s="114"/>
      <c r="P294" s="73"/>
      <c r="Q294" s="75"/>
      <c r="R294" s="95"/>
      <c r="S294" s="95"/>
      <c r="T294" s="95"/>
      <c r="U294" s="95"/>
      <c r="V294" s="95"/>
      <c r="W294" s="112"/>
      <c r="X294" s="465" t="s">
        <v>247</v>
      </c>
      <c r="Y294" s="452" t="s">
        <v>63</v>
      </c>
      <c r="Z294" s="453" t="s">
        <v>5</v>
      </c>
      <c r="AA294" s="453" t="s">
        <v>7</v>
      </c>
      <c r="AB294" s="541" t="s">
        <v>337</v>
      </c>
      <c r="AC294" s="473"/>
      <c r="AD294" s="672">
        <f>AD295+AD297+AD299</f>
        <v>7395.5</v>
      </c>
      <c r="AE294" s="672">
        <f t="shared" ref="AE294:AF294" si="82">AE295+AE297+AE299</f>
        <v>4741</v>
      </c>
      <c r="AF294" s="672">
        <f t="shared" si="82"/>
        <v>4741</v>
      </c>
      <c r="AG294" s="180"/>
      <c r="AH294" s="180"/>
      <c r="AI294" s="147"/>
    </row>
    <row r="295" spans="1:36" s="77" customFormat="1" ht="47.25" x14ac:dyDescent="0.25">
      <c r="A295" s="111"/>
      <c r="B295" s="69"/>
      <c r="C295" s="71"/>
      <c r="D295" s="71"/>
      <c r="E295" s="72"/>
      <c r="F295" s="71"/>
      <c r="G295" s="76"/>
      <c r="H295" s="112"/>
      <c r="I295" s="113"/>
      <c r="J295" s="113"/>
      <c r="K295" s="113"/>
      <c r="L295" s="73"/>
      <c r="M295" s="113"/>
      <c r="N295" s="73"/>
      <c r="O295" s="114"/>
      <c r="P295" s="73"/>
      <c r="Q295" s="75"/>
      <c r="R295" s="95"/>
      <c r="S295" s="95"/>
      <c r="T295" s="95"/>
      <c r="U295" s="95"/>
      <c r="V295" s="95"/>
      <c r="W295" s="112"/>
      <c r="X295" s="451" t="s">
        <v>41</v>
      </c>
      <c r="Y295" s="452" t="s">
        <v>63</v>
      </c>
      <c r="Z295" s="453" t="s">
        <v>5</v>
      </c>
      <c r="AA295" s="453" t="s">
        <v>7</v>
      </c>
      <c r="AB295" s="541" t="s">
        <v>337</v>
      </c>
      <c r="AC295" s="473" t="s">
        <v>127</v>
      </c>
      <c r="AD295" s="672">
        <f>AD296</f>
        <v>6478.7</v>
      </c>
      <c r="AE295" s="634">
        <f>AE296</f>
        <v>3841.6</v>
      </c>
      <c r="AF295" s="645">
        <f>AF296</f>
        <v>3841.6</v>
      </c>
      <c r="AG295" s="180"/>
      <c r="AH295" s="180"/>
      <c r="AI295" s="147"/>
    </row>
    <row r="296" spans="1:36" s="77" customFormat="1" x14ac:dyDescent="0.25">
      <c r="A296" s="111"/>
      <c r="B296" s="69"/>
      <c r="C296" s="71"/>
      <c r="D296" s="71"/>
      <c r="E296" s="72"/>
      <c r="F296" s="71"/>
      <c r="G296" s="76"/>
      <c r="H296" s="112"/>
      <c r="I296" s="113"/>
      <c r="J296" s="113"/>
      <c r="K296" s="113"/>
      <c r="L296" s="73"/>
      <c r="M296" s="113"/>
      <c r="N296" s="73"/>
      <c r="O296" s="114"/>
      <c r="P296" s="73"/>
      <c r="Q296" s="75"/>
      <c r="R296" s="95"/>
      <c r="S296" s="95"/>
      <c r="T296" s="95"/>
      <c r="U296" s="95"/>
      <c r="V296" s="95"/>
      <c r="W296" s="112"/>
      <c r="X296" s="451" t="s">
        <v>68</v>
      </c>
      <c r="Y296" s="452" t="s">
        <v>63</v>
      </c>
      <c r="Z296" s="453" t="s">
        <v>5</v>
      </c>
      <c r="AA296" s="453" t="s">
        <v>7</v>
      </c>
      <c r="AB296" s="541" t="s">
        <v>337</v>
      </c>
      <c r="AC296" s="473" t="s">
        <v>128</v>
      </c>
      <c r="AD296" s="672">
        <v>6478.7</v>
      </c>
      <c r="AE296" s="634">
        <v>3841.6</v>
      </c>
      <c r="AF296" s="645">
        <v>3841.6</v>
      </c>
      <c r="AG296" s="180"/>
      <c r="AH296" s="180"/>
      <c r="AI296" s="147"/>
    </row>
    <row r="297" spans="1:36" s="77" customFormat="1" x14ac:dyDescent="0.25">
      <c r="A297" s="111"/>
      <c r="B297" s="69"/>
      <c r="C297" s="71"/>
      <c r="D297" s="71"/>
      <c r="E297" s="72"/>
      <c r="F297" s="71"/>
      <c r="G297" s="76"/>
      <c r="H297" s="112"/>
      <c r="I297" s="113"/>
      <c r="J297" s="113"/>
      <c r="K297" s="113"/>
      <c r="L297" s="73"/>
      <c r="M297" s="113"/>
      <c r="N297" s="73"/>
      <c r="O297" s="114"/>
      <c r="P297" s="73"/>
      <c r="Q297" s="75"/>
      <c r="R297" s="95"/>
      <c r="S297" s="95"/>
      <c r="T297" s="95"/>
      <c r="U297" s="95"/>
      <c r="V297" s="95"/>
      <c r="W297" s="112"/>
      <c r="X297" s="451" t="s">
        <v>120</v>
      </c>
      <c r="Y297" s="452" t="s">
        <v>63</v>
      </c>
      <c r="Z297" s="453" t="s">
        <v>5</v>
      </c>
      <c r="AA297" s="453" t="s">
        <v>7</v>
      </c>
      <c r="AB297" s="541" t="s">
        <v>337</v>
      </c>
      <c r="AC297" s="473" t="s">
        <v>37</v>
      </c>
      <c r="AD297" s="672">
        <f>AD298</f>
        <v>915.3</v>
      </c>
      <c r="AE297" s="634">
        <f>AE298</f>
        <v>899.4</v>
      </c>
      <c r="AF297" s="645">
        <f>AF298</f>
        <v>899.4</v>
      </c>
      <c r="AG297" s="180"/>
      <c r="AH297" s="180"/>
      <c r="AI297" s="147"/>
    </row>
    <row r="298" spans="1:36" s="77" customFormat="1" ht="31.5" x14ac:dyDescent="0.25">
      <c r="A298" s="111"/>
      <c r="B298" s="69"/>
      <c r="C298" s="71"/>
      <c r="D298" s="71"/>
      <c r="E298" s="72"/>
      <c r="F298" s="71"/>
      <c r="G298" s="76"/>
      <c r="H298" s="112"/>
      <c r="I298" s="113"/>
      <c r="J298" s="113"/>
      <c r="K298" s="113"/>
      <c r="L298" s="73"/>
      <c r="M298" s="113"/>
      <c r="N298" s="73"/>
      <c r="O298" s="114"/>
      <c r="P298" s="73"/>
      <c r="Q298" s="75"/>
      <c r="R298" s="95"/>
      <c r="S298" s="95"/>
      <c r="T298" s="95"/>
      <c r="U298" s="95"/>
      <c r="V298" s="95"/>
      <c r="W298" s="112"/>
      <c r="X298" s="451" t="s">
        <v>52</v>
      </c>
      <c r="Y298" s="452" t="s">
        <v>63</v>
      </c>
      <c r="Z298" s="453" t="s">
        <v>5</v>
      </c>
      <c r="AA298" s="453" t="s">
        <v>7</v>
      </c>
      <c r="AB298" s="541" t="s">
        <v>337</v>
      </c>
      <c r="AC298" s="473" t="s">
        <v>65</v>
      </c>
      <c r="AD298" s="672">
        <f>899.4+17.4-1.5</f>
        <v>915.3</v>
      </c>
      <c r="AE298" s="634">
        <v>899.4</v>
      </c>
      <c r="AF298" s="645">
        <v>899.4</v>
      </c>
      <c r="AG298" s="180"/>
      <c r="AH298" s="180"/>
      <c r="AI298" s="147"/>
    </row>
    <row r="299" spans="1:36" s="77" customFormat="1" x14ac:dyDescent="0.25">
      <c r="A299" s="111"/>
      <c r="B299" s="69"/>
      <c r="C299" s="71"/>
      <c r="D299" s="71"/>
      <c r="E299" s="72"/>
      <c r="F299" s="71"/>
      <c r="G299" s="76"/>
      <c r="H299" s="112"/>
      <c r="I299" s="113"/>
      <c r="J299" s="113"/>
      <c r="K299" s="113"/>
      <c r="L299" s="492"/>
      <c r="M299" s="113"/>
      <c r="N299" s="492"/>
      <c r="O299" s="114"/>
      <c r="P299" s="492"/>
      <c r="Q299" s="75"/>
      <c r="R299" s="95"/>
      <c r="S299" s="95"/>
      <c r="T299" s="95"/>
      <c r="U299" s="95"/>
      <c r="V299" s="95"/>
      <c r="W299" s="112"/>
      <c r="X299" s="451" t="s">
        <v>42</v>
      </c>
      <c r="Y299" s="452" t="s">
        <v>63</v>
      </c>
      <c r="Z299" s="453" t="s">
        <v>5</v>
      </c>
      <c r="AA299" s="453" t="s">
        <v>7</v>
      </c>
      <c r="AB299" s="541" t="s">
        <v>337</v>
      </c>
      <c r="AC299" s="473" t="s">
        <v>347</v>
      </c>
      <c r="AD299" s="672">
        <f>AD300</f>
        <v>1.5</v>
      </c>
      <c r="AE299" s="672">
        <f t="shared" ref="AE299:AF299" si="83">AE300</f>
        <v>0</v>
      </c>
      <c r="AF299" s="672">
        <f t="shared" si="83"/>
        <v>0</v>
      </c>
      <c r="AG299" s="506"/>
      <c r="AH299" s="506"/>
      <c r="AI299" s="502"/>
    </row>
    <row r="300" spans="1:36" s="77" customFormat="1" x14ac:dyDescent="0.25">
      <c r="A300" s="111"/>
      <c r="B300" s="69"/>
      <c r="C300" s="71"/>
      <c r="D300" s="71"/>
      <c r="E300" s="72"/>
      <c r="F300" s="71"/>
      <c r="G300" s="76"/>
      <c r="H300" s="112"/>
      <c r="I300" s="113"/>
      <c r="J300" s="113"/>
      <c r="K300" s="113"/>
      <c r="L300" s="492"/>
      <c r="M300" s="113"/>
      <c r="N300" s="492"/>
      <c r="O300" s="114"/>
      <c r="P300" s="492"/>
      <c r="Q300" s="75"/>
      <c r="R300" s="95"/>
      <c r="S300" s="95"/>
      <c r="T300" s="95"/>
      <c r="U300" s="95"/>
      <c r="V300" s="95"/>
      <c r="W300" s="112"/>
      <c r="X300" s="451" t="s">
        <v>57</v>
      </c>
      <c r="Y300" s="452" t="s">
        <v>63</v>
      </c>
      <c r="Z300" s="453" t="s">
        <v>5</v>
      </c>
      <c r="AA300" s="453" t="s">
        <v>7</v>
      </c>
      <c r="AB300" s="541" t="s">
        <v>337</v>
      </c>
      <c r="AC300" s="473" t="s">
        <v>824</v>
      </c>
      <c r="AD300" s="672">
        <v>1.5</v>
      </c>
      <c r="AE300" s="634">
        <v>0</v>
      </c>
      <c r="AF300" s="645">
        <v>0</v>
      </c>
      <c r="AG300" s="506"/>
      <c r="AH300" s="506"/>
      <c r="AI300" s="502"/>
    </row>
    <row r="301" spans="1:36" s="77" customFormat="1" ht="31.5" x14ac:dyDescent="0.25">
      <c r="A301" s="111"/>
      <c r="B301" s="69"/>
      <c r="C301" s="71"/>
      <c r="D301" s="71"/>
      <c r="E301" s="72"/>
      <c r="F301" s="71"/>
      <c r="G301" s="76"/>
      <c r="H301" s="112"/>
      <c r="I301" s="113"/>
      <c r="J301" s="113"/>
      <c r="K301" s="113"/>
      <c r="L301" s="73"/>
      <c r="M301" s="113"/>
      <c r="N301" s="73"/>
      <c r="O301" s="114"/>
      <c r="P301" s="73"/>
      <c r="Q301" s="75"/>
      <c r="R301" s="95"/>
      <c r="S301" s="95"/>
      <c r="T301" s="95"/>
      <c r="U301" s="95"/>
      <c r="V301" s="95"/>
      <c r="W301" s="112"/>
      <c r="X301" s="459" t="s">
        <v>298</v>
      </c>
      <c r="Y301" s="452" t="s">
        <v>63</v>
      </c>
      <c r="Z301" s="453" t="s">
        <v>5</v>
      </c>
      <c r="AA301" s="453" t="s">
        <v>7</v>
      </c>
      <c r="AB301" s="542" t="s">
        <v>132</v>
      </c>
      <c r="AC301" s="473"/>
      <c r="AD301" s="672">
        <f t="shared" ref="AD301:AF302" si="84">AD302</f>
        <v>1381</v>
      </c>
      <c r="AE301" s="634">
        <f t="shared" si="84"/>
        <v>1365</v>
      </c>
      <c r="AF301" s="645">
        <f t="shared" si="84"/>
        <v>0</v>
      </c>
      <c r="AG301" s="180"/>
      <c r="AH301" s="180"/>
      <c r="AI301" s="147"/>
      <c r="AJ301" s="179"/>
    </row>
    <row r="302" spans="1:36" s="77" customFormat="1" ht="47.25" x14ac:dyDescent="0.25">
      <c r="A302" s="111"/>
      <c r="B302" s="69"/>
      <c r="C302" s="71"/>
      <c r="D302" s="71"/>
      <c r="E302" s="72"/>
      <c r="F302" s="71"/>
      <c r="G302" s="76"/>
      <c r="H302" s="112"/>
      <c r="I302" s="113"/>
      <c r="J302" s="113"/>
      <c r="K302" s="113"/>
      <c r="L302" s="73"/>
      <c r="M302" s="113"/>
      <c r="N302" s="73"/>
      <c r="O302" s="114"/>
      <c r="P302" s="73"/>
      <c r="Q302" s="75"/>
      <c r="R302" s="95"/>
      <c r="S302" s="95"/>
      <c r="T302" s="95"/>
      <c r="U302" s="95"/>
      <c r="V302" s="95"/>
      <c r="W302" s="112"/>
      <c r="X302" s="656" t="s">
        <v>515</v>
      </c>
      <c r="Y302" s="452" t="s">
        <v>63</v>
      </c>
      <c r="Z302" s="453" t="s">
        <v>5</v>
      </c>
      <c r="AA302" s="453" t="s">
        <v>7</v>
      </c>
      <c r="AB302" s="542" t="s">
        <v>300</v>
      </c>
      <c r="AC302" s="454"/>
      <c r="AD302" s="672">
        <f t="shared" si="84"/>
        <v>1381</v>
      </c>
      <c r="AE302" s="634">
        <f t="shared" si="84"/>
        <v>1365</v>
      </c>
      <c r="AF302" s="645">
        <f t="shared" si="84"/>
        <v>0</v>
      </c>
      <c r="AG302" s="180"/>
      <c r="AH302" s="180"/>
      <c r="AI302" s="147"/>
      <c r="AJ302" s="179"/>
    </row>
    <row r="303" spans="1:36" s="77" customFormat="1" ht="31.5" x14ac:dyDescent="0.25">
      <c r="A303" s="111"/>
      <c r="B303" s="69"/>
      <c r="C303" s="71"/>
      <c r="D303" s="71"/>
      <c r="E303" s="72"/>
      <c r="F303" s="71"/>
      <c r="G303" s="76"/>
      <c r="H303" s="112"/>
      <c r="I303" s="113"/>
      <c r="J303" s="113"/>
      <c r="K303" s="113"/>
      <c r="L303" s="73"/>
      <c r="M303" s="113"/>
      <c r="N303" s="73"/>
      <c r="O303" s="114"/>
      <c r="P303" s="73"/>
      <c r="Q303" s="75"/>
      <c r="R303" s="95"/>
      <c r="S303" s="95"/>
      <c r="T303" s="95"/>
      <c r="U303" s="95"/>
      <c r="V303" s="95"/>
      <c r="W303" s="112"/>
      <c r="X303" s="657" t="s">
        <v>304</v>
      </c>
      <c r="Y303" s="452" t="s">
        <v>63</v>
      </c>
      <c r="Z303" s="453" t="s">
        <v>5</v>
      </c>
      <c r="AA303" s="453" t="s">
        <v>7</v>
      </c>
      <c r="AB303" s="542" t="s">
        <v>305</v>
      </c>
      <c r="AC303" s="454"/>
      <c r="AD303" s="672">
        <f t="shared" ref="AD303:AF305" si="85">AD304</f>
        <v>1381</v>
      </c>
      <c r="AE303" s="634">
        <f t="shared" si="85"/>
        <v>1365</v>
      </c>
      <c r="AF303" s="645">
        <f t="shared" si="85"/>
        <v>0</v>
      </c>
      <c r="AG303" s="180"/>
      <c r="AH303" s="180"/>
      <c r="AI303" s="147"/>
    </row>
    <row r="304" spans="1:36" s="77" customFormat="1" ht="47.25" x14ac:dyDescent="0.25">
      <c r="A304" s="111"/>
      <c r="B304" s="69"/>
      <c r="C304" s="71"/>
      <c r="D304" s="71"/>
      <c r="E304" s="72"/>
      <c r="F304" s="71"/>
      <c r="G304" s="76"/>
      <c r="H304" s="112"/>
      <c r="I304" s="113"/>
      <c r="J304" s="113"/>
      <c r="K304" s="113"/>
      <c r="L304" s="73"/>
      <c r="M304" s="113"/>
      <c r="N304" s="73"/>
      <c r="O304" s="114"/>
      <c r="P304" s="73"/>
      <c r="Q304" s="75"/>
      <c r="R304" s="95"/>
      <c r="S304" s="95"/>
      <c r="T304" s="95"/>
      <c r="U304" s="95"/>
      <c r="V304" s="95"/>
      <c r="W304" s="112"/>
      <c r="X304" s="657" t="s">
        <v>352</v>
      </c>
      <c r="Y304" s="452" t="s">
        <v>63</v>
      </c>
      <c r="Z304" s="453" t="s">
        <v>5</v>
      </c>
      <c r="AA304" s="453" t="s">
        <v>7</v>
      </c>
      <c r="AB304" s="542" t="s">
        <v>306</v>
      </c>
      <c r="AC304" s="454"/>
      <c r="AD304" s="672">
        <f>AD305</f>
        <v>1381</v>
      </c>
      <c r="AE304" s="634">
        <f>AE305</f>
        <v>1365</v>
      </c>
      <c r="AF304" s="645">
        <f>AF305</f>
        <v>0</v>
      </c>
      <c r="AG304" s="180"/>
      <c r="AH304" s="180"/>
      <c r="AI304" s="147"/>
    </row>
    <row r="305" spans="1:35" s="77" customFormat="1" x14ac:dyDescent="0.25">
      <c r="A305" s="111"/>
      <c r="B305" s="69"/>
      <c r="C305" s="71"/>
      <c r="D305" s="71"/>
      <c r="E305" s="72"/>
      <c r="F305" s="71"/>
      <c r="G305" s="76"/>
      <c r="H305" s="112"/>
      <c r="I305" s="113"/>
      <c r="J305" s="113"/>
      <c r="K305" s="113"/>
      <c r="L305" s="73"/>
      <c r="M305" s="113"/>
      <c r="N305" s="73"/>
      <c r="O305" s="114"/>
      <c r="P305" s="73"/>
      <c r="Q305" s="75"/>
      <c r="R305" s="95"/>
      <c r="S305" s="95"/>
      <c r="T305" s="95"/>
      <c r="U305" s="95"/>
      <c r="V305" s="95"/>
      <c r="W305" s="112"/>
      <c r="X305" s="451" t="s">
        <v>120</v>
      </c>
      <c r="Y305" s="452" t="s">
        <v>63</v>
      </c>
      <c r="Z305" s="453" t="s">
        <v>5</v>
      </c>
      <c r="AA305" s="453" t="s">
        <v>7</v>
      </c>
      <c r="AB305" s="542" t="s">
        <v>306</v>
      </c>
      <c r="AC305" s="454">
        <v>200</v>
      </c>
      <c r="AD305" s="672">
        <f t="shared" si="85"/>
        <v>1381</v>
      </c>
      <c r="AE305" s="634">
        <f t="shared" si="85"/>
        <v>1365</v>
      </c>
      <c r="AF305" s="645">
        <f t="shared" si="85"/>
        <v>0</v>
      </c>
      <c r="AG305" s="180"/>
      <c r="AH305" s="180"/>
      <c r="AI305" s="147"/>
    </row>
    <row r="306" spans="1:35" s="77" customFormat="1" ht="31.5" x14ac:dyDescent="0.25">
      <c r="A306" s="111"/>
      <c r="B306" s="69"/>
      <c r="C306" s="71"/>
      <c r="D306" s="71"/>
      <c r="E306" s="72"/>
      <c r="F306" s="71"/>
      <c r="G306" s="76"/>
      <c r="H306" s="112"/>
      <c r="I306" s="113"/>
      <c r="J306" s="113"/>
      <c r="K306" s="113"/>
      <c r="L306" s="73"/>
      <c r="M306" s="113"/>
      <c r="N306" s="73"/>
      <c r="O306" s="114"/>
      <c r="P306" s="73"/>
      <c r="Q306" s="75"/>
      <c r="R306" s="95"/>
      <c r="S306" s="95"/>
      <c r="T306" s="95"/>
      <c r="U306" s="95"/>
      <c r="V306" s="95"/>
      <c r="W306" s="112"/>
      <c r="X306" s="451" t="s">
        <v>52</v>
      </c>
      <c r="Y306" s="452" t="s">
        <v>63</v>
      </c>
      <c r="Z306" s="453" t="s">
        <v>5</v>
      </c>
      <c r="AA306" s="453" t="s">
        <v>7</v>
      </c>
      <c r="AB306" s="542" t="s">
        <v>306</v>
      </c>
      <c r="AC306" s="454">
        <v>240</v>
      </c>
      <c r="AD306" s="672">
        <f>1365+16</f>
        <v>1381</v>
      </c>
      <c r="AE306" s="634">
        <v>1365</v>
      </c>
      <c r="AF306" s="645">
        <v>0</v>
      </c>
      <c r="AG306" s="180"/>
      <c r="AH306" s="180"/>
      <c r="AI306" s="147"/>
    </row>
    <row r="307" spans="1:35" s="77" customFormat="1" x14ac:dyDescent="0.25">
      <c r="A307" s="111"/>
      <c r="B307" s="69"/>
      <c r="C307" s="71"/>
      <c r="D307" s="71"/>
      <c r="E307" s="72"/>
      <c r="F307" s="71"/>
      <c r="G307" s="76"/>
      <c r="H307" s="112"/>
      <c r="I307" s="113"/>
      <c r="J307" s="113"/>
      <c r="K307" s="113"/>
      <c r="L307" s="73"/>
      <c r="M307" s="113"/>
      <c r="N307" s="73"/>
      <c r="O307" s="114"/>
      <c r="P307" s="73"/>
      <c r="Q307" s="75"/>
      <c r="R307" s="95"/>
      <c r="S307" s="95"/>
      <c r="T307" s="95"/>
      <c r="U307" s="95"/>
      <c r="V307" s="95"/>
      <c r="W307" s="112"/>
      <c r="X307" s="656" t="s">
        <v>249</v>
      </c>
      <c r="Y307" s="452" t="s">
        <v>63</v>
      </c>
      <c r="Z307" s="453" t="s">
        <v>5</v>
      </c>
      <c r="AA307" s="453" t="s">
        <v>7</v>
      </c>
      <c r="AB307" s="542" t="s">
        <v>250</v>
      </c>
      <c r="AC307" s="450"/>
      <c r="AD307" s="672">
        <f t="shared" ref="AD307:AE311" si="86">AD308</f>
        <v>1510</v>
      </c>
      <c r="AE307" s="634">
        <f t="shared" si="86"/>
        <v>210</v>
      </c>
      <c r="AF307" s="645">
        <f t="shared" ref="AF307:AF311" si="87">AF308</f>
        <v>0</v>
      </c>
      <c r="AG307" s="180"/>
      <c r="AH307" s="180"/>
      <c r="AI307" s="147"/>
    </row>
    <row r="308" spans="1:35" s="77" customFormat="1" ht="34.5" customHeight="1" x14ac:dyDescent="0.25">
      <c r="A308" s="111"/>
      <c r="B308" s="69"/>
      <c r="C308" s="71"/>
      <c r="D308" s="71"/>
      <c r="E308" s="72"/>
      <c r="F308" s="71"/>
      <c r="G308" s="76"/>
      <c r="H308" s="112"/>
      <c r="I308" s="113"/>
      <c r="J308" s="113"/>
      <c r="K308" s="113"/>
      <c r="L308" s="73"/>
      <c r="M308" s="113"/>
      <c r="N308" s="73"/>
      <c r="O308" s="114"/>
      <c r="P308" s="73"/>
      <c r="Q308" s="75"/>
      <c r="R308" s="95"/>
      <c r="S308" s="95"/>
      <c r="T308" s="95"/>
      <c r="U308" s="95"/>
      <c r="V308" s="95"/>
      <c r="W308" s="112"/>
      <c r="X308" s="656" t="s">
        <v>777</v>
      </c>
      <c r="Y308" s="452" t="s">
        <v>63</v>
      </c>
      <c r="Z308" s="453" t="s">
        <v>5</v>
      </c>
      <c r="AA308" s="453" t="s">
        <v>7</v>
      </c>
      <c r="AB308" s="542" t="s">
        <v>251</v>
      </c>
      <c r="AC308" s="482"/>
      <c r="AD308" s="672">
        <f t="shared" si="86"/>
        <v>1510</v>
      </c>
      <c r="AE308" s="634">
        <f t="shared" si="86"/>
        <v>210</v>
      </c>
      <c r="AF308" s="645">
        <f t="shared" si="87"/>
        <v>0</v>
      </c>
      <c r="AG308" s="180"/>
      <c r="AH308" s="180"/>
      <c r="AI308" s="147"/>
    </row>
    <row r="309" spans="1:35" s="77" customFormat="1" ht="31.5" x14ac:dyDescent="0.25">
      <c r="A309" s="111"/>
      <c r="B309" s="69"/>
      <c r="C309" s="71"/>
      <c r="D309" s="71"/>
      <c r="E309" s="72"/>
      <c r="F309" s="71"/>
      <c r="G309" s="76"/>
      <c r="H309" s="112"/>
      <c r="I309" s="113"/>
      <c r="J309" s="113"/>
      <c r="K309" s="113"/>
      <c r="L309" s="73"/>
      <c r="M309" s="113"/>
      <c r="N309" s="73"/>
      <c r="O309" s="114"/>
      <c r="P309" s="73"/>
      <c r="Q309" s="75"/>
      <c r="R309" s="95"/>
      <c r="S309" s="95"/>
      <c r="T309" s="95"/>
      <c r="U309" s="95"/>
      <c r="V309" s="95"/>
      <c r="W309" s="112"/>
      <c r="X309" s="656" t="s">
        <v>790</v>
      </c>
      <c r="Y309" s="452" t="s">
        <v>63</v>
      </c>
      <c r="Z309" s="453" t="s">
        <v>5</v>
      </c>
      <c r="AA309" s="453" t="s">
        <v>7</v>
      </c>
      <c r="AB309" s="542" t="s">
        <v>618</v>
      </c>
      <c r="AC309" s="454"/>
      <c r="AD309" s="672">
        <f t="shared" si="86"/>
        <v>1510</v>
      </c>
      <c r="AE309" s="634">
        <f t="shared" si="86"/>
        <v>210</v>
      </c>
      <c r="AF309" s="645">
        <f t="shared" si="87"/>
        <v>0</v>
      </c>
      <c r="AG309" s="180"/>
      <c r="AH309" s="180"/>
      <c r="AI309" s="147"/>
    </row>
    <row r="310" spans="1:35" s="77" customFormat="1" ht="31.5" x14ac:dyDescent="0.25">
      <c r="A310" s="111"/>
      <c r="B310" s="69"/>
      <c r="C310" s="71"/>
      <c r="D310" s="71"/>
      <c r="E310" s="72"/>
      <c r="F310" s="71"/>
      <c r="G310" s="76"/>
      <c r="H310" s="112"/>
      <c r="I310" s="113"/>
      <c r="J310" s="113"/>
      <c r="K310" s="113"/>
      <c r="L310" s="73"/>
      <c r="M310" s="113"/>
      <c r="N310" s="73"/>
      <c r="O310" s="114"/>
      <c r="P310" s="73"/>
      <c r="Q310" s="75"/>
      <c r="R310" s="95"/>
      <c r="S310" s="95"/>
      <c r="T310" s="95"/>
      <c r="U310" s="95"/>
      <c r="V310" s="95"/>
      <c r="W310" s="112"/>
      <c r="X310" s="459" t="s">
        <v>620</v>
      </c>
      <c r="Y310" s="452" t="s">
        <v>63</v>
      </c>
      <c r="Z310" s="453" t="s">
        <v>5</v>
      </c>
      <c r="AA310" s="453" t="s">
        <v>7</v>
      </c>
      <c r="AB310" s="542" t="s">
        <v>619</v>
      </c>
      <c r="AC310" s="454"/>
      <c r="AD310" s="672">
        <f t="shared" si="86"/>
        <v>1510</v>
      </c>
      <c r="AE310" s="634">
        <f t="shared" si="86"/>
        <v>210</v>
      </c>
      <c r="AF310" s="645">
        <f t="shared" si="87"/>
        <v>0</v>
      </c>
      <c r="AG310" s="180"/>
      <c r="AH310" s="180"/>
      <c r="AI310" s="147"/>
    </row>
    <row r="311" spans="1:35" s="77" customFormat="1" x14ac:dyDescent="0.25">
      <c r="A311" s="111"/>
      <c r="B311" s="69"/>
      <c r="C311" s="71"/>
      <c r="D311" s="71"/>
      <c r="E311" s="72"/>
      <c r="F311" s="71"/>
      <c r="G311" s="76"/>
      <c r="H311" s="112"/>
      <c r="I311" s="113"/>
      <c r="J311" s="113"/>
      <c r="K311" s="113"/>
      <c r="L311" s="73"/>
      <c r="M311" s="113"/>
      <c r="N311" s="73"/>
      <c r="O311" s="114"/>
      <c r="P311" s="73"/>
      <c r="Q311" s="75"/>
      <c r="R311" s="95"/>
      <c r="S311" s="95"/>
      <c r="T311" s="95"/>
      <c r="U311" s="95"/>
      <c r="V311" s="95"/>
      <c r="W311" s="112"/>
      <c r="X311" s="658" t="s">
        <v>120</v>
      </c>
      <c r="Y311" s="452" t="s">
        <v>63</v>
      </c>
      <c r="Z311" s="453" t="s">
        <v>5</v>
      </c>
      <c r="AA311" s="453" t="s">
        <v>7</v>
      </c>
      <c r="AB311" s="542" t="s">
        <v>619</v>
      </c>
      <c r="AC311" s="454">
        <v>200</v>
      </c>
      <c r="AD311" s="672">
        <f t="shared" si="86"/>
        <v>1510</v>
      </c>
      <c r="AE311" s="634">
        <f t="shared" si="86"/>
        <v>210</v>
      </c>
      <c r="AF311" s="645">
        <f t="shared" si="87"/>
        <v>0</v>
      </c>
      <c r="AG311" s="180"/>
      <c r="AH311" s="180"/>
      <c r="AI311" s="147"/>
    </row>
    <row r="312" spans="1:35" s="77" customFormat="1" ht="31.5" x14ac:dyDescent="0.25">
      <c r="A312" s="111"/>
      <c r="B312" s="69"/>
      <c r="C312" s="71"/>
      <c r="D312" s="71"/>
      <c r="E312" s="72"/>
      <c r="F312" s="71"/>
      <c r="G312" s="76"/>
      <c r="H312" s="112"/>
      <c r="I312" s="113"/>
      <c r="J312" s="113"/>
      <c r="K312" s="113"/>
      <c r="L312" s="73"/>
      <c r="M312" s="113"/>
      <c r="N312" s="73"/>
      <c r="O312" s="114"/>
      <c r="P312" s="73"/>
      <c r="Q312" s="75"/>
      <c r="R312" s="95"/>
      <c r="S312" s="95"/>
      <c r="T312" s="95"/>
      <c r="U312" s="95"/>
      <c r="V312" s="95"/>
      <c r="W312" s="112"/>
      <c r="X312" s="658" t="s">
        <v>52</v>
      </c>
      <c r="Y312" s="452" t="s">
        <v>63</v>
      </c>
      <c r="Z312" s="453" t="s">
        <v>5</v>
      </c>
      <c r="AA312" s="453" t="s">
        <v>7</v>
      </c>
      <c r="AB312" s="542" t="s">
        <v>619</v>
      </c>
      <c r="AC312" s="454">
        <v>240</v>
      </c>
      <c r="AD312" s="672">
        <f>210+1300</f>
        <v>1510</v>
      </c>
      <c r="AE312" s="634">
        <v>210</v>
      </c>
      <c r="AF312" s="645">
        <v>0</v>
      </c>
      <c r="AG312" s="180"/>
      <c r="AH312" s="180"/>
      <c r="AI312" s="147"/>
    </row>
    <row r="313" spans="1:35" s="103" customFormat="1" x14ac:dyDescent="0.25">
      <c r="A313" s="47"/>
      <c r="B313" s="78"/>
      <c r="C313" s="79"/>
      <c r="D313" s="79"/>
      <c r="E313" s="80"/>
      <c r="F313" s="104"/>
      <c r="G313" s="81"/>
      <c r="H313" s="105"/>
      <c r="I313" s="49"/>
      <c r="J313" s="49"/>
      <c r="K313" s="49"/>
      <c r="L313" s="73"/>
      <c r="M313" s="49"/>
      <c r="N313" s="73"/>
      <c r="O313" s="82"/>
      <c r="P313" s="81"/>
      <c r="Q313" s="83"/>
      <c r="R313" s="87"/>
      <c r="S313" s="87"/>
      <c r="T313" s="87"/>
      <c r="U313" s="87"/>
      <c r="V313" s="87"/>
      <c r="W313" s="105"/>
      <c r="X313" s="457" t="s">
        <v>242</v>
      </c>
      <c r="Y313" s="452" t="s">
        <v>63</v>
      </c>
      <c r="Z313" s="453" t="s">
        <v>5</v>
      </c>
      <c r="AA313" s="453" t="s">
        <v>7</v>
      </c>
      <c r="AB313" s="542" t="s">
        <v>243</v>
      </c>
      <c r="AC313" s="473"/>
      <c r="AD313" s="672">
        <f>AD319+AD314</f>
        <v>313634.2</v>
      </c>
      <c r="AE313" s="672">
        <f t="shared" ref="AE313:AF313" si="88">AE319+AE314+AE314</f>
        <v>287936</v>
      </c>
      <c r="AF313" s="672">
        <f t="shared" si="88"/>
        <v>301763</v>
      </c>
      <c r="AG313" s="180"/>
      <c r="AH313" s="180"/>
      <c r="AI313" s="147"/>
    </row>
    <row r="314" spans="1:35" s="500" customFormat="1" x14ac:dyDescent="0.25">
      <c r="A314" s="491"/>
      <c r="B314" s="493"/>
      <c r="C314" s="494"/>
      <c r="D314" s="494"/>
      <c r="E314" s="495"/>
      <c r="F314" s="104"/>
      <c r="G314" s="496"/>
      <c r="H314" s="105"/>
      <c r="I314" s="49"/>
      <c r="J314" s="49"/>
      <c r="K314" s="49"/>
      <c r="L314" s="492"/>
      <c r="M314" s="49"/>
      <c r="N314" s="492"/>
      <c r="O314" s="82"/>
      <c r="P314" s="496"/>
      <c r="Q314" s="497"/>
      <c r="R314" s="498"/>
      <c r="S314" s="498"/>
      <c r="T314" s="498"/>
      <c r="U314" s="498"/>
      <c r="V314" s="498"/>
      <c r="W314" s="105"/>
      <c r="X314" s="259" t="s">
        <v>370</v>
      </c>
      <c r="Y314" s="452" t="s">
        <v>63</v>
      </c>
      <c r="Z314" s="191" t="s">
        <v>5</v>
      </c>
      <c r="AA314" s="516" t="s">
        <v>7</v>
      </c>
      <c r="AB314" s="156" t="s">
        <v>371</v>
      </c>
      <c r="AC314" s="473"/>
      <c r="AD314" s="672">
        <f>AD315</f>
        <v>27273.500000000004</v>
      </c>
      <c r="AE314" s="672">
        <f t="shared" ref="AE314:AF315" si="89">AE315</f>
        <v>0</v>
      </c>
      <c r="AF314" s="672">
        <f t="shared" si="89"/>
        <v>0</v>
      </c>
      <c r="AG314" s="506"/>
      <c r="AH314" s="506"/>
      <c r="AI314" s="502"/>
    </row>
    <row r="315" spans="1:35" s="500" customFormat="1" ht="31.5" x14ac:dyDescent="0.25">
      <c r="A315" s="491"/>
      <c r="B315" s="493"/>
      <c r="C315" s="494"/>
      <c r="D315" s="494"/>
      <c r="E315" s="495"/>
      <c r="F315" s="104"/>
      <c r="G315" s="496"/>
      <c r="H315" s="105"/>
      <c r="I315" s="49"/>
      <c r="J315" s="49"/>
      <c r="K315" s="49"/>
      <c r="L315" s="492"/>
      <c r="M315" s="49"/>
      <c r="N315" s="492"/>
      <c r="O315" s="82"/>
      <c r="P315" s="496"/>
      <c r="Q315" s="497"/>
      <c r="R315" s="498"/>
      <c r="S315" s="498"/>
      <c r="T315" s="498"/>
      <c r="U315" s="498"/>
      <c r="V315" s="498"/>
      <c r="W315" s="105"/>
      <c r="X315" s="259" t="s">
        <v>394</v>
      </c>
      <c r="Y315" s="452" t="s">
        <v>63</v>
      </c>
      <c r="Z315" s="191" t="s">
        <v>5</v>
      </c>
      <c r="AA315" s="516" t="s">
        <v>7</v>
      </c>
      <c r="AB315" s="156" t="s">
        <v>395</v>
      </c>
      <c r="AC315" s="473"/>
      <c r="AD315" s="672">
        <f>AD316</f>
        <v>27273.500000000004</v>
      </c>
      <c r="AE315" s="672">
        <f t="shared" si="89"/>
        <v>0</v>
      </c>
      <c r="AF315" s="672">
        <f t="shared" si="89"/>
        <v>0</v>
      </c>
      <c r="AG315" s="506"/>
      <c r="AH315" s="506"/>
      <c r="AI315" s="502"/>
    </row>
    <row r="316" spans="1:35" s="500" customFormat="1" x14ac:dyDescent="0.25">
      <c r="A316" s="491"/>
      <c r="B316" s="493"/>
      <c r="C316" s="494"/>
      <c r="D316" s="494"/>
      <c r="E316" s="495"/>
      <c r="F316" s="104"/>
      <c r="G316" s="496"/>
      <c r="H316" s="105"/>
      <c r="I316" s="49"/>
      <c r="J316" s="49"/>
      <c r="K316" s="49"/>
      <c r="L316" s="492"/>
      <c r="M316" s="49"/>
      <c r="N316" s="492"/>
      <c r="O316" s="82"/>
      <c r="P316" s="496"/>
      <c r="Q316" s="497"/>
      <c r="R316" s="498"/>
      <c r="S316" s="498"/>
      <c r="T316" s="498"/>
      <c r="U316" s="498"/>
      <c r="V316" s="498"/>
      <c r="W316" s="105"/>
      <c r="X316" s="451" t="s">
        <v>397</v>
      </c>
      <c r="Y316" s="452" t="s">
        <v>63</v>
      </c>
      <c r="Z316" s="453" t="s">
        <v>5</v>
      </c>
      <c r="AA316" s="453" t="s">
        <v>7</v>
      </c>
      <c r="AB316" s="542" t="s">
        <v>398</v>
      </c>
      <c r="AC316" s="473"/>
      <c r="AD316" s="672">
        <f t="shared" ref="AD316:AF317" si="90">AD317</f>
        <v>27273.500000000004</v>
      </c>
      <c r="AE316" s="672">
        <f t="shared" si="90"/>
        <v>0</v>
      </c>
      <c r="AF316" s="672">
        <f t="shared" si="90"/>
        <v>0</v>
      </c>
      <c r="AG316" s="506"/>
      <c r="AH316" s="506"/>
      <c r="AI316" s="502"/>
    </row>
    <row r="317" spans="1:35" s="500" customFormat="1" ht="31.5" x14ac:dyDescent="0.25">
      <c r="A317" s="491"/>
      <c r="B317" s="493"/>
      <c r="C317" s="494"/>
      <c r="D317" s="494"/>
      <c r="E317" s="495"/>
      <c r="F317" s="104"/>
      <c r="G317" s="496"/>
      <c r="H317" s="105"/>
      <c r="I317" s="49"/>
      <c r="J317" s="49"/>
      <c r="K317" s="49"/>
      <c r="L317" s="492"/>
      <c r="M317" s="49"/>
      <c r="N317" s="492"/>
      <c r="O317" s="82"/>
      <c r="P317" s="496"/>
      <c r="Q317" s="497"/>
      <c r="R317" s="498"/>
      <c r="S317" s="498"/>
      <c r="T317" s="498"/>
      <c r="U317" s="498"/>
      <c r="V317" s="498"/>
      <c r="W317" s="105"/>
      <c r="X317" s="451" t="s">
        <v>60</v>
      </c>
      <c r="Y317" s="452" t="s">
        <v>63</v>
      </c>
      <c r="Z317" s="453" t="s">
        <v>5</v>
      </c>
      <c r="AA317" s="453" t="s">
        <v>7</v>
      </c>
      <c r="AB317" s="542" t="s">
        <v>398</v>
      </c>
      <c r="AC317" s="482">
        <v>600</v>
      </c>
      <c r="AD317" s="672">
        <f t="shared" si="90"/>
        <v>27273.500000000004</v>
      </c>
      <c r="AE317" s="672">
        <f t="shared" si="90"/>
        <v>0</v>
      </c>
      <c r="AF317" s="672">
        <f t="shared" si="90"/>
        <v>0</v>
      </c>
      <c r="AG317" s="506"/>
      <c r="AH317" s="506"/>
      <c r="AI317" s="502"/>
    </row>
    <row r="318" spans="1:35" s="500" customFormat="1" x14ac:dyDescent="0.25">
      <c r="A318" s="491"/>
      <c r="B318" s="493"/>
      <c r="C318" s="494"/>
      <c r="D318" s="494"/>
      <c r="E318" s="495"/>
      <c r="F318" s="104"/>
      <c r="G318" s="496"/>
      <c r="H318" s="105"/>
      <c r="I318" s="49"/>
      <c r="J318" s="49"/>
      <c r="K318" s="49"/>
      <c r="L318" s="492"/>
      <c r="M318" s="49"/>
      <c r="N318" s="492"/>
      <c r="O318" s="82"/>
      <c r="P318" s="496"/>
      <c r="Q318" s="497"/>
      <c r="R318" s="498"/>
      <c r="S318" s="498"/>
      <c r="T318" s="498"/>
      <c r="U318" s="498"/>
      <c r="V318" s="498"/>
      <c r="W318" s="105"/>
      <c r="X318" s="451" t="s">
        <v>61</v>
      </c>
      <c r="Y318" s="452" t="s">
        <v>63</v>
      </c>
      <c r="Z318" s="453" t="s">
        <v>5</v>
      </c>
      <c r="AA318" s="453" t="s">
        <v>7</v>
      </c>
      <c r="AB318" s="542" t="s">
        <v>398</v>
      </c>
      <c r="AC318" s="473" t="s">
        <v>388</v>
      </c>
      <c r="AD318" s="672">
        <f>4444.1+22008.7+137.9+682.8</f>
        <v>27273.500000000004</v>
      </c>
      <c r="AE318" s="634">
        <v>0</v>
      </c>
      <c r="AF318" s="645">
        <v>0</v>
      </c>
      <c r="AG318" s="506"/>
      <c r="AH318" s="506"/>
      <c r="AI318" s="502"/>
    </row>
    <row r="319" spans="1:35" s="103" customFormat="1" ht="31.5" x14ac:dyDescent="0.25">
      <c r="A319" s="47"/>
      <c r="B319" s="78"/>
      <c r="C319" s="79"/>
      <c r="D319" s="79"/>
      <c r="E319" s="80"/>
      <c r="F319" s="104"/>
      <c r="G319" s="81"/>
      <c r="H319" s="105"/>
      <c r="I319" s="49"/>
      <c r="J319" s="49"/>
      <c r="K319" s="49"/>
      <c r="L319" s="73"/>
      <c r="M319" s="49"/>
      <c r="N319" s="73"/>
      <c r="O319" s="82"/>
      <c r="P319" s="81"/>
      <c r="Q319" s="83"/>
      <c r="R319" s="87"/>
      <c r="S319" s="87"/>
      <c r="T319" s="87"/>
      <c r="U319" s="87"/>
      <c r="V319" s="87"/>
      <c r="W319" s="105"/>
      <c r="X319" s="659" t="s">
        <v>540</v>
      </c>
      <c r="Y319" s="452" t="s">
        <v>63</v>
      </c>
      <c r="Z319" s="453" t="s">
        <v>5</v>
      </c>
      <c r="AA319" s="453" t="s">
        <v>7</v>
      </c>
      <c r="AB319" s="542" t="s">
        <v>244</v>
      </c>
      <c r="AC319" s="473"/>
      <c r="AD319" s="672">
        <f t="shared" ref="AD319:AF322" si="91">AD320</f>
        <v>286360.7</v>
      </c>
      <c r="AE319" s="634">
        <f t="shared" si="91"/>
        <v>287936</v>
      </c>
      <c r="AF319" s="645">
        <f t="shared" si="91"/>
        <v>301763</v>
      </c>
      <c r="AG319" s="180"/>
      <c r="AH319" s="180"/>
      <c r="AI319" s="147"/>
    </row>
    <row r="320" spans="1:35" s="103" customFormat="1" ht="31.5" x14ac:dyDescent="0.25">
      <c r="A320" s="47"/>
      <c r="B320" s="78"/>
      <c r="C320" s="79"/>
      <c r="D320" s="79"/>
      <c r="E320" s="80"/>
      <c r="F320" s="104"/>
      <c r="G320" s="81"/>
      <c r="H320" s="105"/>
      <c r="I320" s="49"/>
      <c r="J320" s="49"/>
      <c r="K320" s="49"/>
      <c r="L320" s="73"/>
      <c r="M320" s="49"/>
      <c r="N320" s="73"/>
      <c r="O320" s="82"/>
      <c r="P320" s="81"/>
      <c r="Q320" s="83"/>
      <c r="R320" s="87"/>
      <c r="S320" s="87"/>
      <c r="T320" s="87"/>
      <c r="U320" s="87"/>
      <c r="V320" s="87"/>
      <c r="W320" s="105"/>
      <c r="X320" s="466" t="s">
        <v>541</v>
      </c>
      <c r="Y320" s="452" t="s">
        <v>63</v>
      </c>
      <c r="Z320" s="453" t="s">
        <v>5</v>
      </c>
      <c r="AA320" s="453" t="s">
        <v>7</v>
      </c>
      <c r="AB320" s="542" t="s">
        <v>245</v>
      </c>
      <c r="AC320" s="454"/>
      <c r="AD320" s="672">
        <f>AD321</f>
        <v>286360.7</v>
      </c>
      <c r="AE320" s="634">
        <f t="shared" si="91"/>
        <v>287936</v>
      </c>
      <c r="AF320" s="645">
        <f t="shared" si="91"/>
        <v>301763</v>
      </c>
      <c r="AG320" s="180"/>
      <c r="AH320" s="180"/>
      <c r="AI320" s="147"/>
    </row>
    <row r="321" spans="1:35" s="103" customFormat="1" ht="31.5" x14ac:dyDescent="0.25">
      <c r="A321" s="47"/>
      <c r="B321" s="78"/>
      <c r="C321" s="79"/>
      <c r="D321" s="79"/>
      <c r="E321" s="80"/>
      <c r="F321" s="104"/>
      <c r="G321" s="81"/>
      <c r="H321" s="105"/>
      <c r="I321" s="49"/>
      <c r="J321" s="49"/>
      <c r="K321" s="49"/>
      <c r="L321" s="73"/>
      <c r="M321" s="49"/>
      <c r="N321" s="73"/>
      <c r="O321" s="82"/>
      <c r="P321" s="81"/>
      <c r="Q321" s="83"/>
      <c r="R321" s="87"/>
      <c r="S321" s="87"/>
      <c r="T321" s="87"/>
      <c r="U321" s="87"/>
      <c r="V321" s="87"/>
      <c r="W321" s="105"/>
      <c r="X321" s="466" t="s">
        <v>584</v>
      </c>
      <c r="Y321" s="452" t="s">
        <v>63</v>
      </c>
      <c r="Z321" s="453" t="s">
        <v>5</v>
      </c>
      <c r="AA321" s="453" t="s">
        <v>7</v>
      </c>
      <c r="AB321" s="542" t="s">
        <v>420</v>
      </c>
      <c r="AC321" s="454"/>
      <c r="AD321" s="672">
        <f t="shared" si="91"/>
        <v>286360.7</v>
      </c>
      <c r="AE321" s="634">
        <f t="shared" si="91"/>
        <v>287936</v>
      </c>
      <c r="AF321" s="645">
        <f t="shared" si="91"/>
        <v>301763</v>
      </c>
      <c r="AG321" s="180"/>
      <c r="AH321" s="180"/>
      <c r="AI321" s="147"/>
    </row>
    <row r="322" spans="1:35" s="103" customFormat="1" ht="31.5" x14ac:dyDescent="0.25">
      <c r="A322" s="47"/>
      <c r="B322" s="78"/>
      <c r="C322" s="79"/>
      <c r="D322" s="79"/>
      <c r="E322" s="80"/>
      <c r="F322" s="104"/>
      <c r="G322" s="81"/>
      <c r="H322" s="105"/>
      <c r="I322" s="49"/>
      <c r="J322" s="49"/>
      <c r="K322" s="49"/>
      <c r="L322" s="73"/>
      <c r="M322" s="49"/>
      <c r="N322" s="73"/>
      <c r="O322" s="82"/>
      <c r="P322" s="81"/>
      <c r="Q322" s="83"/>
      <c r="R322" s="87"/>
      <c r="S322" s="87"/>
      <c r="T322" s="87"/>
      <c r="U322" s="87"/>
      <c r="V322" s="87"/>
      <c r="W322" s="105"/>
      <c r="X322" s="451" t="s">
        <v>60</v>
      </c>
      <c r="Y322" s="452" t="s">
        <v>63</v>
      </c>
      <c r="Z322" s="453" t="s">
        <v>5</v>
      </c>
      <c r="AA322" s="453" t="s">
        <v>7</v>
      </c>
      <c r="AB322" s="542" t="s">
        <v>420</v>
      </c>
      <c r="AC322" s="482">
        <v>600</v>
      </c>
      <c r="AD322" s="672">
        <f t="shared" si="91"/>
        <v>286360.7</v>
      </c>
      <c r="AE322" s="634">
        <f t="shared" si="91"/>
        <v>287936</v>
      </c>
      <c r="AF322" s="645">
        <f t="shared" si="91"/>
        <v>301763</v>
      </c>
      <c r="AG322" s="180"/>
      <c r="AH322" s="180"/>
      <c r="AI322" s="147"/>
    </row>
    <row r="323" spans="1:35" s="103" customFormat="1" x14ac:dyDescent="0.25">
      <c r="A323" s="47"/>
      <c r="B323" s="78"/>
      <c r="C323" s="79"/>
      <c r="D323" s="79"/>
      <c r="E323" s="80"/>
      <c r="F323" s="104"/>
      <c r="G323" s="81"/>
      <c r="H323" s="105"/>
      <c r="I323" s="49"/>
      <c r="J323" s="49"/>
      <c r="K323" s="49"/>
      <c r="L323" s="73"/>
      <c r="M323" s="49"/>
      <c r="N323" s="73"/>
      <c r="O323" s="82"/>
      <c r="P323" s="81"/>
      <c r="Q323" s="83"/>
      <c r="R323" s="87"/>
      <c r="S323" s="87"/>
      <c r="T323" s="87"/>
      <c r="U323" s="87"/>
      <c r="V323" s="87"/>
      <c r="W323" s="105"/>
      <c r="X323" s="451" t="s">
        <v>61</v>
      </c>
      <c r="Y323" s="452" t="s">
        <v>63</v>
      </c>
      <c r="Z323" s="453" t="s">
        <v>5</v>
      </c>
      <c r="AA323" s="453" t="s">
        <v>7</v>
      </c>
      <c r="AB323" s="542" t="s">
        <v>420</v>
      </c>
      <c r="AC323" s="454">
        <v>610</v>
      </c>
      <c r="AD323" s="672">
        <f>275692+2028.7+8640</f>
        <v>286360.7</v>
      </c>
      <c r="AE323" s="634">
        <v>287936</v>
      </c>
      <c r="AF323" s="645">
        <v>301763</v>
      </c>
      <c r="AG323" s="180"/>
      <c r="AH323" s="180"/>
      <c r="AI323" s="147"/>
    </row>
    <row r="324" spans="1:35" s="500" customFormat="1" x14ac:dyDescent="0.25">
      <c r="A324" s="491"/>
      <c r="B324" s="493"/>
      <c r="C324" s="494"/>
      <c r="D324" s="494"/>
      <c r="E324" s="495"/>
      <c r="F324" s="104"/>
      <c r="G324" s="496"/>
      <c r="H324" s="105"/>
      <c r="I324" s="49"/>
      <c r="J324" s="49"/>
      <c r="K324" s="49"/>
      <c r="L324" s="492"/>
      <c r="M324" s="49"/>
      <c r="N324" s="492"/>
      <c r="O324" s="82"/>
      <c r="P324" s="496"/>
      <c r="Q324" s="497"/>
      <c r="R324" s="498"/>
      <c r="S324" s="498"/>
      <c r="T324" s="498"/>
      <c r="U324" s="498"/>
      <c r="V324" s="498"/>
      <c r="W324" s="105"/>
      <c r="X324" s="254" t="s">
        <v>39</v>
      </c>
      <c r="Y324" s="448" t="s">
        <v>63</v>
      </c>
      <c r="Z324" s="530" t="s">
        <v>95</v>
      </c>
      <c r="AA324" s="550"/>
      <c r="AB324" s="551"/>
      <c r="AC324" s="188"/>
      <c r="AD324" s="675">
        <f t="shared" ref="AD324:AF330" si="92">AD325</f>
        <v>134</v>
      </c>
      <c r="AE324" s="637">
        <f t="shared" si="92"/>
        <v>134</v>
      </c>
      <c r="AF324" s="647">
        <f t="shared" si="92"/>
        <v>134</v>
      </c>
      <c r="AG324" s="506"/>
      <c r="AH324" s="506"/>
      <c r="AI324" s="502"/>
    </row>
    <row r="325" spans="1:35" s="500" customFormat="1" x14ac:dyDescent="0.25">
      <c r="A325" s="491"/>
      <c r="B325" s="493"/>
      <c r="C325" s="494"/>
      <c r="D325" s="494"/>
      <c r="E325" s="495"/>
      <c r="F325" s="104"/>
      <c r="G325" s="496"/>
      <c r="H325" s="105"/>
      <c r="I325" s="49"/>
      <c r="J325" s="49"/>
      <c r="K325" s="49"/>
      <c r="L325" s="492"/>
      <c r="M325" s="49"/>
      <c r="N325" s="492"/>
      <c r="O325" s="82"/>
      <c r="P325" s="496"/>
      <c r="Q325" s="497"/>
      <c r="R325" s="498"/>
      <c r="S325" s="498"/>
      <c r="T325" s="498"/>
      <c r="U325" s="498"/>
      <c r="V325" s="498"/>
      <c r="W325" s="105"/>
      <c r="X325" s="523" t="s">
        <v>692</v>
      </c>
      <c r="Y325" s="511" t="s">
        <v>63</v>
      </c>
      <c r="Z325" s="15" t="s">
        <v>95</v>
      </c>
      <c r="AA325" s="515" t="s">
        <v>5</v>
      </c>
      <c r="AB325" s="409"/>
      <c r="AC325" s="516"/>
      <c r="AD325" s="673">
        <f t="shared" si="92"/>
        <v>134</v>
      </c>
      <c r="AE325" s="635">
        <f t="shared" si="92"/>
        <v>134</v>
      </c>
      <c r="AF325" s="648">
        <f t="shared" si="92"/>
        <v>134</v>
      </c>
      <c r="AG325" s="506"/>
      <c r="AH325" s="506"/>
      <c r="AI325" s="502"/>
    </row>
    <row r="326" spans="1:35" s="500" customFormat="1" x14ac:dyDescent="0.25">
      <c r="A326" s="491"/>
      <c r="B326" s="493"/>
      <c r="C326" s="494"/>
      <c r="D326" s="494"/>
      <c r="E326" s="495"/>
      <c r="F326" s="104"/>
      <c r="G326" s="496"/>
      <c r="H326" s="105"/>
      <c r="I326" s="49"/>
      <c r="J326" s="49"/>
      <c r="K326" s="49"/>
      <c r="L326" s="492"/>
      <c r="M326" s="49"/>
      <c r="N326" s="492"/>
      <c r="O326" s="82"/>
      <c r="P326" s="496"/>
      <c r="Q326" s="497"/>
      <c r="R326" s="498"/>
      <c r="S326" s="498"/>
      <c r="T326" s="498"/>
      <c r="U326" s="498"/>
      <c r="V326" s="498"/>
      <c r="W326" s="105"/>
      <c r="X326" s="523" t="s">
        <v>693</v>
      </c>
      <c r="Y326" s="511" t="s">
        <v>63</v>
      </c>
      <c r="Z326" s="15" t="s">
        <v>95</v>
      </c>
      <c r="AA326" s="515" t="s">
        <v>5</v>
      </c>
      <c r="AB326" s="409" t="s">
        <v>694</v>
      </c>
      <c r="AC326" s="516"/>
      <c r="AD326" s="673">
        <f t="shared" si="92"/>
        <v>134</v>
      </c>
      <c r="AE326" s="635">
        <f t="shared" si="92"/>
        <v>134</v>
      </c>
      <c r="AF326" s="648">
        <f t="shared" si="92"/>
        <v>134</v>
      </c>
      <c r="AG326" s="506"/>
      <c r="AH326" s="506"/>
      <c r="AI326" s="502"/>
    </row>
    <row r="327" spans="1:35" s="500" customFormat="1" x14ac:dyDescent="0.25">
      <c r="A327" s="491"/>
      <c r="B327" s="493"/>
      <c r="C327" s="494"/>
      <c r="D327" s="494"/>
      <c r="E327" s="495"/>
      <c r="F327" s="104"/>
      <c r="G327" s="496"/>
      <c r="H327" s="105"/>
      <c r="I327" s="49"/>
      <c r="J327" s="49"/>
      <c r="K327" s="49"/>
      <c r="L327" s="492"/>
      <c r="M327" s="49"/>
      <c r="N327" s="492"/>
      <c r="O327" s="82"/>
      <c r="P327" s="496"/>
      <c r="Q327" s="497"/>
      <c r="R327" s="498"/>
      <c r="S327" s="498"/>
      <c r="T327" s="498"/>
      <c r="U327" s="498"/>
      <c r="V327" s="498"/>
      <c r="W327" s="105"/>
      <c r="X327" s="523" t="s">
        <v>695</v>
      </c>
      <c r="Y327" s="511" t="s">
        <v>63</v>
      </c>
      <c r="Z327" s="15" t="s">
        <v>95</v>
      </c>
      <c r="AA327" s="515" t="s">
        <v>5</v>
      </c>
      <c r="AB327" s="409" t="s">
        <v>696</v>
      </c>
      <c r="AC327" s="516"/>
      <c r="AD327" s="673">
        <f t="shared" si="92"/>
        <v>134</v>
      </c>
      <c r="AE327" s="635">
        <f t="shared" si="92"/>
        <v>134</v>
      </c>
      <c r="AF327" s="648">
        <f t="shared" si="92"/>
        <v>134</v>
      </c>
      <c r="AG327" s="506"/>
      <c r="AH327" s="506"/>
      <c r="AI327" s="502"/>
    </row>
    <row r="328" spans="1:35" s="500" customFormat="1" x14ac:dyDescent="0.25">
      <c r="A328" s="491"/>
      <c r="B328" s="493"/>
      <c r="C328" s="494"/>
      <c r="D328" s="494"/>
      <c r="E328" s="495"/>
      <c r="F328" s="104"/>
      <c r="G328" s="496"/>
      <c r="H328" s="105"/>
      <c r="I328" s="49"/>
      <c r="J328" s="49"/>
      <c r="K328" s="49"/>
      <c r="L328" s="492"/>
      <c r="M328" s="49"/>
      <c r="N328" s="492"/>
      <c r="O328" s="82"/>
      <c r="P328" s="496"/>
      <c r="Q328" s="497"/>
      <c r="R328" s="498"/>
      <c r="S328" s="498"/>
      <c r="T328" s="498"/>
      <c r="U328" s="498"/>
      <c r="V328" s="498"/>
      <c r="W328" s="105"/>
      <c r="X328" s="523" t="s">
        <v>697</v>
      </c>
      <c r="Y328" s="511" t="s">
        <v>63</v>
      </c>
      <c r="Z328" s="15" t="s">
        <v>95</v>
      </c>
      <c r="AA328" s="515" t="s">
        <v>5</v>
      </c>
      <c r="AB328" s="409" t="s">
        <v>698</v>
      </c>
      <c r="AC328" s="516"/>
      <c r="AD328" s="673">
        <f t="shared" si="92"/>
        <v>134</v>
      </c>
      <c r="AE328" s="635">
        <f t="shared" si="92"/>
        <v>134</v>
      </c>
      <c r="AF328" s="648">
        <f t="shared" si="92"/>
        <v>134</v>
      </c>
      <c r="AG328" s="506"/>
      <c r="AH328" s="506"/>
      <c r="AI328" s="502"/>
    </row>
    <row r="329" spans="1:35" s="500" customFormat="1" ht="31.5" x14ac:dyDescent="0.25">
      <c r="A329" s="491"/>
      <c r="B329" s="493"/>
      <c r="C329" s="494"/>
      <c r="D329" s="494"/>
      <c r="E329" s="495"/>
      <c r="F329" s="104"/>
      <c r="G329" s="496"/>
      <c r="H329" s="105"/>
      <c r="I329" s="49"/>
      <c r="J329" s="49"/>
      <c r="K329" s="49"/>
      <c r="L329" s="492"/>
      <c r="M329" s="49"/>
      <c r="N329" s="492"/>
      <c r="O329" s="82"/>
      <c r="P329" s="496"/>
      <c r="Q329" s="497"/>
      <c r="R329" s="498"/>
      <c r="S329" s="498"/>
      <c r="T329" s="498"/>
      <c r="U329" s="498"/>
      <c r="V329" s="498"/>
      <c r="W329" s="105"/>
      <c r="X329" s="523" t="s">
        <v>753</v>
      </c>
      <c r="Y329" s="511" t="s">
        <v>63</v>
      </c>
      <c r="Z329" s="15" t="s">
        <v>95</v>
      </c>
      <c r="AA329" s="515" t="s">
        <v>5</v>
      </c>
      <c r="AB329" s="409" t="s">
        <v>699</v>
      </c>
      <c r="AC329" s="516"/>
      <c r="AD329" s="673">
        <f t="shared" si="92"/>
        <v>134</v>
      </c>
      <c r="AE329" s="635">
        <f t="shared" si="92"/>
        <v>134</v>
      </c>
      <c r="AF329" s="648">
        <f t="shared" si="92"/>
        <v>134</v>
      </c>
      <c r="AG329" s="506"/>
      <c r="AH329" s="506"/>
      <c r="AI329" s="502"/>
    </row>
    <row r="330" spans="1:35" s="500" customFormat="1" ht="31.5" x14ac:dyDescent="0.25">
      <c r="A330" s="491"/>
      <c r="B330" s="493"/>
      <c r="C330" s="494"/>
      <c r="D330" s="494"/>
      <c r="E330" s="495"/>
      <c r="F330" s="104"/>
      <c r="G330" s="496"/>
      <c r="H330" s="105"/>
      <c r="I330" s="49"/>
      <c r="J330" s="49"/>
      <c r="K330" s="49"/>
      <c r="L330" s="492"/>
      <c r="M330" s="49"/>
      <c r="N330" s="492"/>
      <c r="O330" s="82"/>
      <c r="P330" s="496"/>
      <c r="Q330" s="497"/>
      <c r="R330" s="498"/>
      <c r="S330" s="498"/>
      <c r="T330" s="498"/>
      <c r="U330" s="498"/>
      <c r="V330" s="498"/>
      <c r="W330" s="105"/>
      <c r="X330" s="523" t="s">
        <v>60</v>
      </c>
      <c r="Y330" s="511" t="s">
        <v>63</v>
      </c>
      <c r="Z330" s="15" t="s">
        <v>95</v>
      </c>
      <c r="AA330" s="515" t="s">
        <v>5</v>
      </c>
      <c r="AB330" s="409" t="s">
        <v>699</v>
      </c>
      <c r="AC330" s="516">
        <v>600</v>
      </c>
      <c r="AD330" s="673">
        <f t="shared" si="92"/>
        <v>134</v>
      </c>
      <c r="AE330" s="635">
        <f t="shared" si="92"/>
        <v>134</v>
      </c>
      <c r="AF330" s="648">
        <f t="shared" si="92"/>
        <v>134</v>
      </c>
      <c r="AG330" s="506"/>
      <c r="AH330" s="506"/>
      <c r="AI330" s="502"/>
    </row>
    <row r="331" spans="1:35" s="500" customFormat="1" x14ac:dyDescent="0.25">
      <c r="A331" s="491"/>
      <c r="B331" s="493"/>
      <c r="C331" s="494"/>
      <c r="D331" s="494"/>
      <c r="E331" s="495"/>
      <c r="F331" s="104"/>
      <c r="G331" s="496"/>
      <c r="H331" s="105"/>
      <c r="I331" s="49"/>
      <c r="J331" s="49"/>
      <c r="K331" s="49"/>
      <c r="L331" s="492"/>
      <c r="M331" s="49"/>
      <c r="N331" s="492"/>
      <c r="O331" s="82"/>
      <c r="P331" s="496"/>
      <c r="Q331" s="497"/>
      <c r="R331" s="498"/>
      <c r="S331" s="498"/>
      <c r="T331" s="498"/>
      <c r="U331" s="498"/>
      <c r="V331" s="498"/>
      <c r="W331" s="105"/>
      <c r="X331" s="523" t="s">
        <v>61</v>
      </c>
      <c r="Y331" s="511" t="s">
        <v>63</v>
      </c>
      <c r="Z331" s="15" t="s">
        <v>95</v>
      </c>
      <c r="AA331" s="515" t="s">
        <v>5</v>
      </c>
      <c r="AB331" s="409" t="s">
        <v>699</v>
      </c>
      <c r="AC331" s="516">
        <v>610</v>
      </c>
      <c r="AD331" s="673">
        <v>134</v>
      </c>
      <c r="AE331" s="635">
        <v>134</v>
      </c>
      <c r="AF331" s="648">
        <v>134</v>
      </c>
      <c r="AG331" s="506"/>
      <c r="AH331" s="506"/>
      <c r="AI331" s="502"/>
    </row>
    <row r="332" spans="1:35" s="77" customFormat="1" x14ac:dyDescent="0.25">
      <c r="A332" s="68"/>
      <c r="B332" s="69"/>
      <c r="C332" s="71"/>
      <c r="D332" s="72"/>
      <c r="E332" s="72"/>
      <c r="F332" s="72"/>
      <c r="G332" s="73"/>
      <c r="H332" s="73"/>
      <c r="I332" s="73"/>
      <c r="J332" s="73"/>
      <c r="K332" s="73"/>
      <c r="L332" s="73"/>
      <c r="M332" s="73"/>
      <c r="N332" s="73"/>
      <c r="O332" s="74"/>
      <c r="P332" s="73"/>
      <c r="Q332" s="75"/>
      <c r="R332" s="95"/>
      <c r="S332" s="95"/>
      <c r="T332" s="95"/>
      <c r="U332" s="95"/>
      <c r="V332" s="95"/>
      <c r="W332" s="95"/>
      <c r="X332" s="653" t="s">
        <v>4</v>
      </c>
      <c r="Y332" s="182" t="s">
        <v>63</v>
      </c>
      <c r="Z332" s="471" t="s">
        <v>8</v>
      </c>
      <c r="AA332" s="540"/>
      <c r="AB332" s="539"/>
      <c r="AC332" s="476"/>
      <c r="AD332" s="671">
        <f>AD333+AD348+AD368</f>
        <v>85600.800000000017</v>
      </c>
      <c r="AE332" s="633">
        <f>AE333+AE348+AE368</f>
        <v>47803.4</v>
      </c>
      <c r="AF332" s="644">
        <f>AF333+AF348+AF368</f>
        <v>47911.9</v>
      </c>
      <c r="AG332" s="205"/>
      <c r="AH332" s="205"/>
      <c r="AI332" s="147"/>
    </row>
    <row r="333" spans="1:35" s="77" customFormat="1" x14ac:dyDescent="0.25">
      <c r="A333" s="68"/>
      <c r="B333" s="69"/>
      <c r="C333" s="71"/>
      <c r="D333" s="72"/>
      <c r="E333" s="72"/>
      <c r="F333" s="72"/>
      <c r="G333" s="73"/>
      <c r="H333" s="73"/>
      <c r="I333" s="73"/>
      <c r="J333" s="73"/>
      <c r="K333" s="73"/>
      <c r="L333" s="73"/>
      <c r="M333" s="73"/>
      <c r="N333" s="73"/>
      <c r="O333" s="74"/>
      <c r="P333" s="73"/>
      <c r="Q333" s="75"/>
      <c r="R333" s="95"/>
      <c r="S333" s="95"/>
      <c r="T333" s="95"/>
      <c r="U333" s="95"/>
      <c r="V333" s="95"/>
      <c r="W333" s="95"/>
      <c r="X333" s="451" t="s">
        <v>134</v>
      </c>
      <c r="Y333" s="452" t="s">
        <v>63</v>
      </c>
      <c r="Z333" s="477" t="s">
        <v>8</v>
      </c>
      <c r="AA333" s="453" t="s">
        <v>7</v>
      </c>
      <c r="AB333" s="539"/>
      <c r="AC333" s="476"/>
      <c r="AD333" s="672">
        <f t="shared" ref="AD333:AF335" si="93">AD334</f>
        <v>80865.000000000015</v>
      </c>
      <c r="AE333" s="634">
        <f t="shared" si="93"/>
        <v>43856</v>
      </c>
      <c r="AF333" s="645">
        <f t="shared" si="93"/>
        <v>43856</v>
      </c>
      <c r="AG333" s="180"/>
      <c r="AH333" s="180"/>
      <c r="AI333" s="147"/>
    </row>
    <row r="334" spans="1:35" s="77" customFormat="1" x14ac:dyDescent="0.25">
      <c r="A334" s="68"/>
      <c r="B334" s="69"/>
      <c r="C334" s="71"/>
      <c r="D334" s="72"/>
      <c r="E334" s="72"/>
      <c r="F334" s="72"/>
      <c r="G334" s="73"/>
      <c r="H334" s="73"/>
      <c r="I334" s="73"/>
      <c r="J334" s="73"/>
      <c r="K334" s="73"/>
      <c r="L334" s="73"/>
      <c r="M334" s="73"/>
      <c r="N334" s="73"/>
      <c r="O334" s="74"/>
      <c r="P334" s="73"/>
      <c r="Q334" s="75"/>
      <c r="R334" s="95"/>
      <c r="S334" s="95"/>
      <c r="T334" s="95"/>
      <c r="U334" s="95"/>
      <c r="V334" s="95"/>
      <c r="W334" s="95"/>
      <c r="X334" s="459" t="s">
        <v>573</v>
      </c>
      <c r="Y334" s="452" t="s">
        <v>63</v>
      </c>
      <c r="Z334" s="477" t="s">
        <v>8</v>
      </c>
      <c r="AA334" s="453" t="s">
        <v>7</v>
      </c>
      <c r="AB334" s="542" t="s">
        <v>114</v>
      </c>
      <c r="AC334" s="476"/>
      <c r="AD334" s="672">
        <f>AD335</f>
        <v>80865.000000000015</v>
      </c>
      <c r="AE334" s="634">
        <f t="shared" si="93"/>
        <v>43856</v>
      </c>
      <c r="AF334" s="645">
        <f t="shared" si="93"/>
        <v>43856</v>
      </c>
      <c r="AG334" s="180"/>
      <c r="AH334" s="180"/>
      <c r="AI334" s="147"/>
    </row>
    <row r="335" spans="1:35" s="77" customFormat="1" x14ac:dyDescent="0.25">
      <c r="A335" s="68"/>
      <c r="B335" s="69"/>
      <c r="C335" s="71"/>
      <c r="D335" s="72"/>
      <c r="E335" s="72"/>
      <c r="F335" s="72"/>
      <c r="G335" s="73"/>
      <c r="H335" s="73"/>
      <c r="I335" s="73"/>
      <c r="J335" s="73"/>
      <c r="K335" s="73"/>
      <c r="L335" s="73"/>
      <c r="M335" s="73"/>
      <c r="N335" s="73"/>
      <c r="O335" s="74"/>
      <c r="P335" s="73"/>
      <c r="Q335" s="75"/>
      <c r="R335" s="95"/>
      <c r="S335" s="95"/>
      <c r="T335" s="95"/>
      <c r="U335" s="95"/>
      <c r="V335" s="95"/>
      <c r="W335" s="95"/>
      <c r="X335" s="451" t="s">
        <v>500</v>
      </c>
      <c r="Y335" s="452" t="s">
        <v>63</v>
      </c>
      <c r="Z335" s="477" t="s">
        <v>8</v>
      </c>
      <c r="AA335" s="453" t="s">
        <v>7</v>
      </c>
      <c r="AB335" s="542" t="s">
        <v>381</v>
      </c>
      <c r="AC335" s="482"/>
      <c r="AD335" s="674">
        <f>AD336+AD344+AD340</f>
        <v>80865.000000000015</v>
      </c>
      <c r="AE335" s="636">
        <f t="shared" si="93"/>
        <v>43856</v>
      </c>
      <c r="AF335" s="646">
        <f t="shared" si="93"/>
        <v>43856</v>
      </c>
      <c r="AG335" s="180"/>
      <c r="AH335" s="180"/>
      <c r="AI335" s="147"/>
    </row>
    <row r="336" spans="1:35" s="77" customFormat="1" ht="32.25" customHeight="1" x14ac:dyDescent="0.25">
      <c r="A336" s="68"/>
      <c r="B336" s="69"/>
      <c r="C336" s="71"/>
      <c r="D336" s="72"/>
      <c r="E336" s="72"/>
      <c r="F336" s="72"/>
      <c r="G336" s="73"/>
      <c r="H336" s="73"/>
      <c r="I336" s="73"/>
      <c r="J336" s="73"/>
      <c r="K336" s="73"/>
      <c r="L336" s="73"/>
      <c r="M336" s="73"/>
      <c r="N336" s="73"/>
      <c r="O336" s="74"/>
      <c r="P336" s="73"/>
      <c r="Q336" s="75"/>
      <c r="R336" s="95"/>
      <c r="S336" s="95"/>
      <c r="T336" s="95"/>
      <c r="U336" s="95"/>
      <c r="V336" s="95"/>
      <c r="W336" s="95"/>
      <c r="X336" s="451" t="s">
        <v>423</v>
      </c>
      <c r="Y336" s="452" t="s">
        <v>63</v>
      </c>
      <c r="Z336" s="453" t="s">
        <v>8</v>
      </c>
      <c r="AA336" s="453" t="s">
        <v>7</v>
      </c>
      <c r="AB336" s="542" t="s">
        <v>382</v>
      </c>
      <c r="AC336" s="482"/>
      <c r="AD336" s="674">
        <f t="shared" ref="AD336:AF338" si="94">AD337</f>
        <v>72348.100000000006</v>
      </c>
      <c r="AE336" s="636">
        <f t="shared" si="94"/>
        <v>43856</v>
      </c>
      <c r="AF336" s="646">
        <f t="shared" si="94"/>
        <v>43856</v>
      </c>
      <c r="AG336" s="180"/>
      <c r="AH336" s="180"/>
      <c r="AI336" s="147"/>
    </row>
    <row r="337" spans="1:35" s="77" customFormat="1" ht="31.5" x14ac:dyDescent="0.25">
      <c r="A337" s="68"/>
      <c r="B337" s="69"/>
      <c r="C337" s="71"/>
      <c r="D337" s="72"/>
      <c r="E337" s="72"/>
      <c r="F337" s="72"/>
      <c r="G337" s="73"/>
      <c r="H337" s="73"/>
      <c r="I337" s="73"/>
      <c r="J337" s="73"/>
      <c r="K337" s="73"/>
      <c r="L337" s="73"/>
      <c r="M337" s="73"/>
      <c r="N337" s="73"/>
      <c r="O337" s="74"/>
      <c r="P337" s="73"/>
      <c r="Q337" s="75"/>
      <c r="R337" s="95"/>
      <c r="S337" s="95"/>
      <c r="T337" s="95"/>
      <c r="U337" s="95"/>
      <c r="V337" s="95"/>
      <c r="W337" s="95"/>
      <c r="X337" s="654" t="s">
        <v>380</v>
      </c>
      <c r="Y337" s="452" t="s">
        <v>63</v>
      </c>
      <c r="Z337" s="453" t="s">
        <v>8</v>
      </c>
      <c r="AA337" s="453" t="s">
        <v>7</v>
      </c>
      <c r="AB337" s="542" t="s">
        <v>383</v>
      </c>
      <c r="AC337" s="482"/>
      <c r="AD337" s="674">
        <f t="shared" si="94"/>
        <v>72348.100000000006</v>
      </c>
      <c r="AE337" s="636">
        <f t="shared" si="94"/>
        <v>43856</v>
      </c>
      <c r="AF337" s="646">
        <f t="shared" si="94"/>
        <v>43856</v>
      </c>
      <c r="AG337" s="180"/>
      <c r="AH337" s="180"/>
      <c r="AI337" s="147"/>
    </row>
    <row r="338" spans="1:35" s="77" customFormat="1" ht="31.5" x14ac:dyDescent="0.25">
      <c r="A338" s="68"/>
      <c r="B338" s="69"/>
      <c r="C338" s="71"/>
      <c r="D338" s="72"/>
      <c r="E338" s="72"/>
      <c r="F338" s="72"/>
      <c r="G338" s="73"/>
      <c r="H338" s="73"/>
      <c r="I338" s="73"/>
      <c r="J338" s="73"/>
      <c r="K338" s="73"/>
      <c r="L338" s="73"/>
      <c r="M338" s="73"/>
      <c r="N338" s="73"/>
      <c r="O338" s="74"/>
      <c r="P338" s="73"/>
      <c r="Q338" s="75"/>
      <c r="R338" s="95"/>
      <c r="S338" s="95"/>
      <c r="T338" s="95"/>
      <c r="U338" s="95"/>
      <c r="V338" s="95"/>
      <c r="W338" s="95"/>
      <c r="X338" s="451" t="s">
        <v>60</v>
      </c>
      <c r="Y338" s="452" t="s">
        <v>63</v>
      </c>
      <c r="Z338" s="453" t="s">
        <v>8</v>
      </c>
      <c r="AA338" s="453" t="s">
        <v>7</v>
      </c>
      <c r="AB338" s="542" t="s">
        <v>383</v>
      </c>
      <c r="AC338" s="482">
        <v>600</v>
      </c>
      <c r="AD338" s="674">
        <f t="shared" si="94"/>
        <v>72348.100000000006</v>
      </c>
      <c r="AE338" s="636">
        <f t="shared" si="94"/>
        <v>43856</v>
      </c>
      <c r="AF338" s="646">
        <f t="shared" si="94"/>
        <v>43856</v>
      </c>
      <c r="AG338" s="180"/>
      <c r="AH338" s="180"/>
      <c r="AI338" s="147"/>
    </row>
    <row r="339" spans="1:35" s="77" customFormat="1" x14ac:dyDescent="0.25">
      <c r="A339" s="68"/>
      <c r="B339" s="69"/>
      <c r="C339" s="71"/>
      <c r="D339" s="72"/>
      <c r="E339" s="72"/>
      <c r="F339" s="72"/>
      <c r="G339" s="73"/>
      <c r="H339" s="73"/>
      <c r="I339" s="73"/>
      <c r="J339" s="73"/>
      <c r="K339" s="73"/>
      <c r="L339" s="73"/>
      <c r="M339" s="73"/>
      <c r="N339" s="73"/>
      <c r="O339" s="74"/>
      <c r="P339" s="73"/>
      <c r="Q339" s="75"/>
      <c r="R339" s="95"/>
      <c r="S339" s="95"/>
      <c r="T339" s="95"/>
      <c r="U339" s="95"/>
      <c r="V339" s="95"/>
      <c r="W339" s="95"/>
      <c r="X339" s="451" t="s">
        <v>61</v>
      </c>
      <c r="Y339" s="452" t="s">
        <v>63</v>
      </c>
      <c r="Z339" s="453" t="s">
        <v>8</v>
      </c>
      <c r="AA339" s="453" t="s">
        <v>7</v>
      </c>
      <c r="AB339" s="542" t="s">
        <v>383</v>
      </c>
      <c r="AC339" s="482">
        <v>610</v>
      </c>
      <c r="AD339" s="672">
        <f>69048.1+3300</f>
        <v>72348.100000000006</v>
      </c>
      <c r="AE339" s="634">
        <v>43856</v>
      </c>
      <c r="AF339" s="645">
        <v>43856</v>
      </c>
      <c r="AG339" s="180"/>
      <c r="AH339" s="180"/>
      <c r="AI339" s="147"/>
    </row>
    <row r="340" spans="1:35" s="77" customFormat="1" ht="31.5" x14ac:dyDescent="0.25">
      <c r="A340" s="68"/>
      <c r="B340" s="69"/>
      <c r="C340" s="71"/>
      <c r="D340" s="72"/>
      <c r="E340" s="72"/>
      <c r="F340" s="72"/>
      <c r="G340" s="492"/>
      <c r="H340" s="492"/>
      <c r="I340" s="492"/>
      <c r="J340" s="492"/>
      <c r="K340" s="492"/>
      <c r="L340" s="492"/>
      <c r="M340" s="492"/>
      <c r="N340" s="492"/>
      <c r="O340" s="74"/>
      <c r="P340" s="492"/>
      <c r="Q340" s="75"/>
      <c r="R340" s="95"/>
      <c r="S340" s="95"/>
      <c r="T340" s="95"/>
      <c r="U340" s="95"/>
      <c r="V340" s="95"/>
      <c r="W340" s="95"/>
      <c r="X340" s="451" t="s">
        <v>740</v>
      </c>
      <c r="Y340" s="452" t="s">
        <v>63</v>
      </c>
      <c r="Z340" s="453" t="s">
        <v>8</v>
      </c>
      <c r="AA340" s="453" t="s">
        <v>7</v>
      </c>
      <c r="AB340" s="542" t="s">
        <v>741</v>
      </c>
      <c r="AC340" s="482"/>
      <c r="AD340" s="672">
        <f>AD341</f>
        <v>2499.8000000000002</v>
      </c>
      <c r="AE340" s="634">
        <f t="shared" ref="AE340:AF342" si="95">AE341</f>
        <v>0</v>
      </c>
      <c r="AF340" s="645">
        <f t="shared" si="95"/>
        <v>0</v>
      </c>
      <c r="AG340" s="506"/>
      <c r="AH340" s="506"/>
      <c r="AI340" s="502"/>
    </row>
    <row r="341" spans="1:35" s="77" customFormat="1" ht="41.25" customHeight="1" x14ac:dyDescent="0.25">
      <c r="A341" s="68"/>
      <c r="B341" s="69"/>
      <c r="C341" s="71"/>
      <c r="D341" s="72"/>
      <c r="E341" s="72"/>
      <c r="F341" s="72"/>
      <c r="G341" s="492"/>
      <c r="H341" s="492"/>
      <c r="I341" s="492"/>
      <c r="J341" s="492"/>
      <c r="K341" s="492"/>
      <c r="L341" s="492"/>
      <c r="M341" s="492"/>
      <c r="N341" s="492"/>
      <c r="O341" s="74"/>
      <c r="P341" s="492"/>
      <c r="Q341" s="75"/>
      <c r="R341" s="95"/>
      <c r="S341" s="95"/>
      <c r="T341" s="95"/>
      <c r="U341" s="95"/>
      <c r="V341" s="95"/>
      <c r="W341" s="95"/>
      <c r="X341" s="451" t="s">
        <v>772</v>
      </c>
      <c r="Y341" s="452" t="s">
        <v>63</v>
      </c>
      <c r="Z341" s="453" t="s">
        <v>8</v>
      </c>
      <c r="AA341" s="453" t="s">
        <v>7</v>
      </c>
      <c r="AB341" s="542" t="s">
        <v>742</v>
      </c>
      <c r="AC341" s="482"/>
      <c r="AD341" s="672">
        <f>AD342</f>
        <v>2499.8000000000002</v>
      </c>
      <c r="AE341" s="634">
        <f t="shared" si="95"/>
        <v>0</v>
      </c>
      <c r="AF341" s="645">
        <f t="shared" si="95"/>
        <v>0</v>
      </c>
      <c r="AG341" s="506"/>
      <c r="AH341" s="506"/>
      <c r="AI341" s="502"/>
    </row>
    <row r="342" spans="1:35" s="77" customFormat="1" ht="31.5" x14ac:dyDescent="0.25">
      <c r="A342" s="68"/>
      <c r="B342" s="69"/>
      <c r="C342" s="71"/>
      <c r="D342" s="72"/>
      <c r="E342" s="72"/>
      <c r="F342" s="72"/>
      <c r="G342" s="492"/>
      <c r="H342" s="492"/>
      <c r="I342" s="492"/>
      <c r="J342" s="492"/>
      <c r="K342" s="492"/>
      <c r="L342" s="492"/>
      <c r="M342" s="492"/>
      <c r="N342" s="492"/>
      <c r="O342" s="74"/>
      <c r="P342" s="492"/>
      <c r="Q342" s="75"/>
      <c r="R342" s="95"/>
      <c r="S342" s="95"/>
      <c r="T342" s="95"/>
      <c r="U342" s="95"/>
      <c r="V342" s="95"/>
      <c r="W342" s="95"/>
      <c r="X342" s="451" t="s">
        <v>60</v>
      </c>
      <c r="Y342" s="452" t="s">
        <v>63</v>
      </c>
      <c r="Z342" s="453" t="s">
        <v>8</v>
      </c>
      <c r="AA342" s="453" t="s">
        <v>7</v>
      </c>
      <c r="AB342" s="542" t="s">
        <v>742</v>
      </c>
      <c r="AC342" s="482">
        <v>600</v>
      </c>
      <c r="AD342" s="672">
        <f>AD343</f>
        <v>2499.8000000000002</v>
      </c>
      <c r="AE342" s="634">
        <f t="shared" si="95"/>
        <v>0</v>
      </c>
      <c r="AF342" s="645">
        <f t="shared" si="95"/>
        <v>0</v>
      </c>
      <c r="AG342" s="506"/>
      <c r="AH342" s="506"/>
      <c r="AI342" s="502"/>
    </row>
    <row r="343" spans="1:35" s="77" customFormat="1" ht="19.5" customHeight="1" x14ac:dyDescent="0.25">
      <c r="A343" s="68"/>
      <c r="B343" s="69"/>
      <c r="C343" s="71"/>
      <c r="D343" s="72"/>
      <c r="E343" s="72"/>
      <c r="F343" s="72"/>
      <c r="G343" s="492"/>
      <c r="H343" s="492"/>
      <c r="I343" s="492"/>
      <c r="J343" s="492"/>
      <c r="K343" s="492"/>
      <c r="L343" s="492"/>
      <c r="M343" s="492"/>
      <c r="N343" s="492"/>
      <c r="O343" s="74"/>
      <c r="P343" s="492"/>
      <c r="Q343" s="75"/>
      <c r="R343" s="95"/>
      <c r="S343" s="95"/>
      <c r="T343" s="95"/>
      <c r="U343" s="95"/>
      <c r="V343" s="95"/>
      <c r="W343" s="95"/>
      <c r="X343" s="451" t="s">
        <v>61</v>
      </c>
      <c r="Y343" s="452" t="s">
        <v>63</v>
      </c>
      <c r="Z343" s="453" t="s">
        <v>8</v>
      </c>
      <c r="AA343" s="453" t="s">
        <v>7</v>
      </c>
      <c r="AB343" s="542" t="s">
        <v>742</v>
      </c>
      <c r="AC343" s="482">
        <v>610</v>
      </c>
      <c r="AD343" s="672">
        <v>2499.8000000000002</v>
      </c>
      <c r="AE343" s="634">
        <v>0</v>
      </c>
      <c r="AF343" s="645">
        <v>0</v>
      </c>
      <c r="AG343" s="506"/>
      <c r="AH343" s="506"/>
      <c r="AI343" s="502"/>
    </row>
    <row r="344" spans="1:35" s="77" customFormat="1" x14ac:dyDescent="0.25">
      <c r="A344" s="68"/>
      <c r="B344" s="69"/>
      <c r="C344" s="71"/>
      <c r="D344" s="72"/>
      <c r="E344" s="72"/>
      <c r="F344" s="72"/>
      <c r="G344" s="492"/>
      <c r="H344" s="492"/>
      <c r="I344" s="492"/>
      <c r="J344" s="492"/>
      <c r="K344" s="492"/>
      <c r="L344" s="492"/>
      <c r="M344" s="492"/>
      <c r="N344" s="492"/>
      <c r="O344" s="74"/>
      <c r="P344" s="492"/>
      <c r="Q344" s="75"/>
      <c r="R344" s="95"/>
      <c r="S344" s="95"/>
      <c r="T344" s="95"/>
      <c r="U344" s="95"/>
      <c r="V344" s="95"/>
      <c r="W344" s="95"/>
      <c r="X344" s="451" t="s">
        <v>736</v>
      </c>
      <c r="Y344" s="452" t="s">
        <v>63</v>
      </c>
      <c r="Z344" s="453" t="s">
        <v>8</v>
      </c>
      <c r="AA344" s="453" t="s">
        <v>7</v>
      </c>
      <c r="AB344" s="542" t="s">
        <v>739</v>
      </c>
      <c r="AC344" s="482"/>
      <c r="AD344" s="672">
        <f>AD345</f>
        <v>6017.1</v>
      </c>
      <c r="AE344" s="634">
        <f t="shared" ref="AE344:AF346" si="96">AE345</f>
        <v>0</v>
      </c>
      <c r="AF344" s="645">
        <f t="shared" si="96"/>
        <v>0</v>
      </c>
      <c r="AG344" s="506"/>
      <c r="AH344" s="506"/>
      <c r="AI344" s="502"/>
    </row>
    <row r="345" spans="1:35" s="77" customFormat="1" ht="53.25" customHeight="1" x14ac:dyDescent="0.25">
      <c r="A345" s="68"/>
      <c r="B345" s="69"/>
      <c r="C345" s="71"/>
      <c r="D345" s="72"/>
      <c r="E345" s="72"/>
      <c r="F345" s="72"/>
      <c r="G345" s="492"/>
      <c r="H345" s="492"/>
      <c r="I345" s="492"/>
      <c r="J345" s="492"/>
      <c r="K345" s="492"/>
      <c r="L345" s="492"/>
      <c r="M345" s="492"/>
      <c r="N345" s="492"/>
      <c r="O345" s="74"/>
      <c r="P345" s="492"/>
      <c r="Q345" s="75"/>
      <c r="R345" s="95"/>
      <c r="S345" s="95"/>
      <c r="T345" s="95"/>
      <c r="U345" s="95"/>
      <c r="V345" s="95"/>
      <c r="W345" s="95"/>
      <c r="X345" s="451" t="s">
        <v>737</v>
      </c>
      <c r="Y345" s="452" t="s">
        <v>63</v>
      </c>
      <c r="Z345" s="453" t="s">
        <v>8</v>
      </c>
      <c r="AA345" s="453" t="s">
        <v>7</v>
      </c>
      <c r="AB345" s="542" t="s">
        <v>738</v>
      </c>
      <c r="AC345" s="482"/>
      <c r="AD345" s="672">
        <f>AD346</f>
        <v>6017.1</v>
      </c>
      <c r="AE345" s="634">
        <f t="shared" si="96"/>
        <v>0</v>
      </c>
      <c r="AF345" s="645">
        <f t="shared" si="96"/>
        <v>0</v>
      </c>
      <c r="AG345" s="506"/>
      <c r="AH345" s="506"/>
      <c r="AI345" s="502"/>
    </row>
    <row r="346" spans="1:35" s="77" customFormat="1" ht="31.5" x14ac:dyDescent="0.25">
      <c r="A346" s="68"/>
      <c r="B346" s="69"/>
      <c r="C346" s="71"/>
      <c r="D346" s="72"/>
      <c r="E346" s="72"/>
      <c r="F346" s="72"/>
      <c r="G346" s="492"/>
      <c r="H346" s="492"/>
      <c r="I346" s="492"/>
      <c r="J346" s="492"/>
      <c r="K346" s="492"/>
      <c r="L346" s="492"/>
      <c r="M346" s="492"/>
      <c r="N346" s="492"/>
      <c r="O346" s="74"/>
      <c r="P346" s="492"/>
      <c r="Q346" s="75"/>
      <c r="R346" s="95"/>
      <c r="S346" s="95"/>
      <c r="T346" s="95"/>
      <c r="U346" s="95"/>
      <c r="V346" s="95"/>
      <c r="W346" s="95"/>
      <c r="X346" s="451" t="s">
        <v>60</v>
      </c>
      <c r="Y346" s="452" t="s">
        <v>63</v>
      </c>
      <c r="Z346" s="453" t="s">
        <v>8</v>
      </c>
      <c r="AA346" s="453" t="s">
        <v>7</v>
      </c>
      <c r="AB346" s="542" t="s">
        <v>738</v>
      </c>
      <c r="AC346" s="482">
        <v>600</v>
      </c>
      <c r="AD346" s="672">
        <f>AD347</f>
        <v>6017.1</v>
      </c>
      <c r="AE346" s="634">
        <f t="shared" si="96"/>
        <v>0</v>
      </c>
      <c r="AF346" s="645">
        <f t="shared" si="96"/>
        <v>0</v>
      </c>
      <c r="AG346" s="506"/>
      <c r="AH346" s="506"/>
      <c r="AI346" s="502"/>
    </row>
    <row r="347" spans="1:35" s="77" customFormat="1" x14ac:dyDescent="0.25">
      <c r="A347" s="68"/>
      <c r="B347" s="69"/>
      <c r="C347" s="71"/>
      <c r="D347" s="72"/>
      <c r="E347" s="72"/>
      <c r="F347" s="72"/>
      <c r="G347" s="492"/>
      <c r="H347" s="492"/>
      <c r="I347" s="492"/>
      <c r="J347" s="492"/>
      <c r="K347" s="492"/>
      <c r="L347" s="492"/>
      <c r="M347" s="492"/>
      <c r="N347" s="492"/>
      <c r="O347" s="74"/>
      <c r="P347" s="492"/>
      <c r="Q347" s="75"/>
      <c r="R347" s="95"/>
      <c r="S347" s="95"/>
      <c r="T347" s="95"/>
      <c r="U347" s="95"/>
      <c r="V347" s="95"/>
      <c r="W347" s="95"/>
      <c r="X347" s="451" t="s">
        <v>61</v>
      </c>
      <c r="Y347" s="452" t="s">
        <v>63</v>
      </c>
      <c r="Z347" s="453" t="s">
        <v>8</v>
      </c>
      <c r="AA347" s="453" t="s">
        <v>7</v>
      </c>
      <c r="AB347" s="542" t="s">
        <v>738</v>
      </c>
      <c r="AC347" s="482">
        <v>610</v>
      </c>
      <c r="AD347" s="672">
        <f>4940+1077.1</f>
        <v>6017.1</v>
      </c>
      <c r="AE347" s="634">
        <v>0</v>
      </c>
      <c r="AF347" s="645">
        <v>0</v>
      </c>
      <c r="AG347" s="506"/>
      <c r="AH347" s="506"/>
      <c r="AI347" s="502"/>
    </row>
    <row r="348" spans="1:35" x14ac:dyDescent="0.25">
      <c r="A348" s="47"/>
      <c r="B348" s="78"/>
      <c r="C348" s="79"/>
      <c r="D348" s="79"/>
      <c r="E348" s="80"/>
      <c r="F348" s="80"/>
      <c r="G348" s="81"/>
      <c r="H348" s="81"/>
      <c r="I348" s="81"/>
      <c r="J348" s="81"/>
      <c r="K348" s="81"/>
      <c r="L348" s="73"/>
      <c r="M348" s="81"/>
      <c r="N348" s="73"/>
      <c r="O348" s="82"/>
      <c r="P348" s="81"/>
      <c r="Q348" s="83"/>
      <c r="R348" s="87"/>
      <c r="S348" s="87"/>
      <c r="T348" s="87"/>
      <c r="U348" s="87"/>
      <c r="V348" s="87"/>
      <c r="W348" s="87"/>
      <c r="X348" s="451" t="s">
        <v>135</v>
      </c>
      <c r="Y348" s="452" t="s">
        <v>63</v>
      </c>
      <c r="Z348" s="453" t="s">
        <v>8</v>
      </c>
      <c r="AA348" s="453" t="s">
        <v>8</v>
      </c>
      <c r="AB348" s="541"/>
      <c r="AC348" s="482"/>
      <c r="AD348" s="672">
        <f>AD349+AD355</f>
        <v>1775.8</v>
      </c>
      <c r="AE348" s="634">
        <f>AE349+AE355</f>
        <v>907.40000000000009</v>
      </c>
      <c r="AF348" s="645">
        <f>AF349+AF355</f>
        <v>995.90000000000009</v>
      </c>
      <c r="AG348" s="180"/>
      <c r="AH348" s="180"/>
      <c r="AI348" s="147"/>
    </row>
    <row r="349" spans="1:35" ht="31.5" x14ac:dyDescent="0.25">
      <c r="A349" s="47"/>
      <c r="B349" s="78"/>
      <c r="C349" s="79"/>
      <c r="D349" s="79"/>
      <c r="E349" s="80"/>
      <c r="F349" s="80"/>
      <c r="G349" s="81"/>
      <c r="H349" s="81"/>
      <c r="I349" s="81"/>
      <c r="J349" s="81"/>
      <c r="K349" s="81"/>
      <c r="L349" s="73"/>
      <c r="M349" s="81"/>
      <c r="N349" s="73"/>
      <c r="O349" s="82"/>
      <c r="P349" s="81"/>
      <c r="Q349" s="83"/>
      <c r="R349" s="87"/>
      <c r="S349" s="87"/>
      <c r="T349" s="87"/>
      <c r="U349" s="87"/>
      <c r="V349" s="87"/>
      <c r="W349" s="87"/>
      <c r="X349" s="457" t="s">
        <v>161</v>
      </c>
      <c r="Y349" s="452" t="s">
        <v>63</v>
      </c>
      <c r="Z349" s="453" t="s">
        <v>8</v>
      </c>
      <c r="AA349" s="453" t="s">
        <v>8</v>
      </c>
      <c r="AB349" s="541" t="s">
        <v>102</v>
      </c>
      <c r="AC349" s="482"/>
      <c r="AD349" s="672">
        <f t="shared" ref="AD349:AF350" si="97">AD350</f>
        <v>295.2</v>
      </c>
      <c r="AE349" s="634">
        <f t="shared" si="97"/>
        <v>295.2</v>
      </c>
      <c r="AF349" s="645">
        <f t="shared" si="97"/>
        <v>295.2</v>
      </c>
      <c r="AG349" s="180"/>
      <c r="AH349" s="180"/>
      <c r="AI349" s="147"/>
    </row>
    <row r="350" spans="1:35" x14ac:dyDescent="0.25">
      <c r="A350" s="47"/>
      <c r="B350" s="78"/>
      <c r="C350" s="79"/>
      <c r="D350" s="79"/>
      <c r="E350" s="80"/>
      <c r="F350" s="80"/>
      <c r="G350" s="81"/>
      <c r="H350" s="81"/>
      <c r="I350" s="81"/>
      <c r="J350" s="81"/>
      <c r="K350" s="81"/>
      <c r="L350" s="73"/>
      <c r="M350" s="81"/>
      <c r="N350" s="73"/>
      <c r="O350" s="82"/>
      <c r="P350" s="81"/>
      <c r="Q350" s="83"/>
      <c r="R350" s="87"/>
      <c r="S350" s="87"/>
      <c r="T350" s="87"/>
      <c r="U350" s="87"/>
      <c r="V350" s="87"/>
      <c r="W350" s="87"/>
      <c r="X350" s="457" t="s">
        <v>162</v>
      </c>
      <c r="Y350" s="452" t="s">
        <v>63</v>
      </c>
      <c r="Z350" s="453" t="s">
        <v>8</v>
      </c>
      <c r="AA350" s="453" t="s">
        <v>8</v>
      </c>
      <c r="AB350" s="541" t="s">
        <v>106</v>
      </c>
      <c r="AC350" s="482"/>
      <c r="AD350" s="672">
        <f t="shared" si="97"/>
        <v>295.2</v>
      </c>
      <c r="AE350" s="634">
        <f t="shared" si="97"/>
        <v>295.2</v>
      </c>
      <c r="AF350" s="645">
        <f t="shared" si="97"/>
        <v>295.2</v>
      </c>
      <c r="AG350" s="180"/>
      <c r="AH350" s="180"/>
      <c r="AI350" s="147"/>
    </row>
    <row r="351" spans="1:35" ht="31.5" x14ac:dyDescent="0.25">
      <c r="A351" s="47"/>
      <c r="B351" s="78"/>
      <c r="C351" s="79"/>
      <c r="D351" s="79"/>
      <c r="E351" s="80"/>
      <c r="F351" s="80"/>
      <c r="G351" s="81"/>
      <c r="H351" s="81"/>
      <c r="I351" s="81"/>
      <c r="J351" s="81"/>
      <c r="K351" s="81"/>
      <c r="L351" s="73"/>
      <c r="M351" s="81"/>
      <c r="N351" s="73"/>
      <c r="O351" s="82"/>
      <c r="P351" s="81"/>
      <c r="Q351" s="83"/>
      <c r="R351" s="87"/>
      <c r="S351" s="87"/>
      <c r="T351" s="87"/>
      <c r="U351" s="87"/>
      <c r="V351" s="87"/>
      <c r="W351" s="87"/>
      <c r="X351" s="663" t="s">
        <v>527</v>
      </c>
      <c r="Y351" s="452" t="s">
        <v>63</v>
      </c>
      <c r="Z351" s="453" t="s">
        <v>8</v>
      </c>
      <c r="AA351" s="453" t="s">
        <v>8</v>
      </c>
      <c r="AB351" s="542" t="s">
        <v>166</v>
      </c>
      <c r="AC351" s="482"/>
      <c r="AD351" s="672">
        <f t="shared" ref="AD351:AF352" si="98">AD352</f>
        <v>295.2</v>
      </c>
      <c r="AE351" s="634">
        <f t="shared" si="98"/>
        <v>295.2</v>
      </c>
      <c r="AF351" s="645">
        <f t="shared" si="98"/>
        <v>295.2</v>
      </c>
      <c r="AG351" s="180"/>
      <c r="AH351" s="180"/>
      <c r="AI351" s="147"/>
    </row>
    <row r="352" spans="1:35" ht="31.5" x14ac:dyDescent="0.25">
      <c r="A352" s="47"/>
      <c r="B352" s="78"/>
      <c r="C352" s="79"/>
      <c r="D352" s="79"/>
      <c r="E352" s="80"/>
      <c r="F352" s="80"/>
      <c r="G352" s="81"/>
      <c r="H352" s="81"/>
      <c r="I352" s="81"/>
      <c r="J352" s="81"/>
      <c r="K352" s="81"/>
      <c r="L352" s="73"/>
      <c r="M352" s="81"/>
      <c r="N352" s="73"/>
      <c r="O352" s="82"/>
      <c r="P352" s="81"/>
      <c r="Q352" s="83"/>
      <c r="R352" s="87"/>
      <c r="S352" s="87"/>
      <c r="T352" s="87"/>
      <c r="U352" s="87"/>
      <c r="V352" s="87"/>
      <c r="W352" s="87"/>
      <c r="X352" s="457" t="s">
        <v>598</v>
      </c>
      <c r="Y352" s="452" t="s">
        <v>63</v>
      </c>
      <c r="Z352" s="453" t="s">
        <v>8</v>
      </c>
      <c r="AA352" s="453" t="s">
        <v>8</v>
      </c>
      <c r="AB352" s="542" t="s">
        <v>599</v>
      </c>
      <c r="AC352" s="482"/>
      <c r="AD352" s="672">
        <f t="shared" si="98"/>
        <v>295.2</v>
      </c>
      <c r="AE352" s="634">
        <f t="shared" si="98"/>
        <v>295.2</v>
      </c>
      <c r="AF352" s="645">
        <f t="shared" si="98"/>
        <v>295.2</v>
      </c>
      <c r="AG352" s="180"/>
      <c r="AH352" s="180"/>
      <c r="AI352" s="147"/>
    </row>
    <row r="353" spans="1:35" x14ac:dyDescent="0.25">
      <c r="A353" s="47"/>
      <c r="B353" s="78"/>
      <c r="C353" s="79"/>
      <c r="D353" s="79"/>
      <c r="E353" s="80"/>
      <c r="F353" s="80"/>
      <c r="G353" s="81"/>
      <c r="H353" s="81"/>
      <c r="I353" s="81"/>
      <c r="J353" s="81"/>
      <c r="K353" s="81"/>
      <c r="L353" s="73"/>
      <c r="M353" s="81"/>
      <c r="N353" s="73"/>
      <c r="O353" s="82"/>
      <c r="P353" s="81"/>
      <c r="Q353" s="83"/>
      <c r="R353" s="87"/>
      <c r="S353" s="87"/>
      <c r="T353" s="87"/>
      <c r="U353" s="87"/>
      <c r="V353" s="87"/>
      <c r="W353" s="87"/>
      <c r="X353" s="451" t="s">
        <v>120</v>
      </c>
      <c r="Y353" s="452" t="s">
        <v>63</v>
      </c>
      <c r="Z353" s="453" t="s">
        <v>8</v>
      </c>
      <c r="AA353" s="453" t="s">
        <v>8</v>
      </c>
      <c r="AB353" s="542" t="s">
        <v>599</v>
      </c>
      <c r="AC353" s="454">
        <v>200</v>
      </c>
      <c r="AD353" s="672">
        <f>AD354</f>
        <v>295.2</v>
      </c>
      <c r="AE353" s="634">
        <f>AE354</f>
        <v>295.2</v>
      </c>
      <c r="AF353" s="645">
        <f>AF354</f>
        <v>295.2</v>
      </c>
      <c r="AG353" s="180"/>
      <c r="AH353" s="180"/>
      <c r="AI353" s="147"/>
    </row>
    <row r="354" spans="1:35" ht="31.5" x14ac:dyDescent="0.25">
      <c r="A354" s="47"/>
      <c r="B354" s="78"/>
      <c r="C354" s="79"/>
      <c r="D354" s="79"/>
      <c r="E354" s="80"/>
      <c r="F354" s="80"/>
      <c r="G354" s="81"/>
      <c r="H354" s="81"/>
      <c r="I354" s="81"/>
      <c r="J354" s="81"/>
      <c r="K354" s="81"/>
      <c r="L354" s="73"/>
      <c r="M354" s="81"/>
      <c r="N354" s="73"/>
      <c r="O354" s="82"/>
      <c r="P354" s="81"/>
      <c r="Q354" s="83"/>
      <c r="R354" s="87"/>
      <c r="S354" s="87"/>
      <c r="T354" s="87"/>
      <c r="U354" s="87"/>
      <c r="V354" s="87"/>
      <c r="W354" s="87"/>
      <c r="X354" s="451" t="s">
        <v>52</v>
      </c>
      <c r="Y354" s="452" t="s">
        <v>63</v>
      </c>
      <c r="Z354" s="453" t="s">
        <v>8</v>
      </c>
      <c r="AA354" s="453" t="s">
        <v>8</v>
      </c>
      <c r="AB354" s="542" t="s">
        <v>599</v>
      </c>
      <c r="AC354" s="454">
        <v>240</v>
      </c>
      <c r="AD354" s="672">
        <v>295.2</v>
      </c>
      <c r="AE354" s="634">
        <v>295.2</v>
      </c>
      <c r="AF354" s="645">
        <v>295.2</v>
      </c>
      <c r="AG354" s="180"/>
      <c r="AH354" s="180"/>
      <c r="AI354" s="147"/>
    </row>
    <row r="355" spans="1:35" ht="31.5" x14ac:dyDescent="0.25">
      <c r="A355" s="90"/>
      <c r="B355" s="78"/>
      <c r="C355" s="78"/>
      <c r="D355" s="78"/>
      <c r="E355" s="80"/>
      <c r="F355" s="79"/>
      <c r="G355" s="81"/>
      <c r="H355" s="40"/>
      <c r="I355" s="91"/>
      <c r="J355" s="91"/>
      <c r="K355" s="91"/>
      <c r="L355" s="81"/>
      <c r="M355" s="91"/>
      <c r="N355" s="81"/>
      <c r="O355" s="82"/>
      <c r="P355" s="41"/>
      <c r="Q355" s="83"/>
      <c r="R355" s="87"/>
      <c r="S355" s="87"/>
      <c r="T355" s="87"/>
      <c r="U355" s="87"/>
      <c r="V355" s="87"/>
      <c r="X355" s="459" t="s">
        <v>298</v>
      </c>
      <c r="Y355" s="452" t="s">
        <v>63</v>
      </c>
      <c r="Z355" s="453" t="s">
        <v>8</v>
      </c>
      <c r="AA355" s="453" t="s">
        <v>8</v>
      </c>
      <c r="AB355" s="542" t="s">
        <v>132</v>
      </c>
      <c r="AC355" s="454"/>
      <c r="AD355" s="672">
        <f>AD356+AD363</f>
        <v>1480.6</v>
      </c>
      <c r="AE355" s="672">
        <f t="shared" ref="AE355:AF355" si="99">AE356+AE363</f>
        <v>612.20000000000005</v>
      </c>
      <c r="AF355" s="672">
        <f t="shared" si="99"/>
        <v>700.7</v>
      </c>
      <c r="AG355" s="180"/>
      <c r="AH355" s="180"/>
      <c r="AI355" s="147"/>
    </row>
    <row r="356" spans="1:35" x14ac:dyDescent="0.25">
      <c r="A356" s="90"/>
      <c r="B356" s="78"/>
      <c r="C356" s="78"/>
      <c r="D356" s="78"/>
      <c r="E356" s="80"/>
      <c r="F356" s="79"/>
      <c r="G356" s="81"/>
      <c r="H356" s="40"/>
      <c r="I356" s="91"/>
      <c r="J356" s="91"/>
      <c r="K356" s="91"/>
      <c r="L356" s="81"/>
      <c r="M356" s="91"/>
      <c r="N356" s="81"/>
      <c r="O356" s="82"/>
      <c r="P356" s="41"/>
      <c r="Q356" s="83"/>
      <c r="R356" s="87"/>
      <c r="S356" s="87"/>
      <c r="T356" s="87"/>
      <c r="U356" s="87"/>
      <c r="V356" s="87"/>
      <c r="X356" s="459" t="s">
        <v>307</v>
      </c>
      <c r="Y356" s="452" t="s">
        <v>63</v>
      </c>
      <c r="Z356" s="474" t="s">
        <v>8</v>
      </c>
      <c r="AA356" s="474" t="s">
        <v>8</v>
      </c>
      <c r="AB356" s="542" t="s">
        <v>308</v>
      </c>
      <c r="AC356" s="454"/>
      <c r="AD356" s="672">
        <f>AD357</f>
        <v>1330.6</v>
      </c>
      <c r="AE356" s="634">
        <f t="shared" ref="AD356:AF359" si="100">AE357</f>
        <v>612.20000000000005</v>
      </c>
      <c r="AF356" s="645">
        <f t="shared" si="100"/>
        <v>700.7</v>
      </c>
      <c r="AG356" s="180"/>
      <c r="AH356" s="180"/>
      <c r="AI356" s="147"/>
    </row>
    <row r="357" spans="1:35" x14ac:dyDescent="0.25">
      <c r="A357" s="90"/>
      <c r="B357" s="78"/>
      <c r="C357" s="78"/>
      <c r="D357" s="78"/>
      <c r="E357" s="80"/>
      <c r="F357" s="79"/>
      <c r="G357" s="81"/>
      <c r="H357" s="40"/>
      <c r="I357" s="91"/>
      <c r="J357" s="91"/>
      <c r="K357" s="91"/>
      <c r="L357" s="81"/>
      <c r="M357" s="91"/>
      <c r="N357" s="81"/>
      <c r="O357" s="82"/>
      <c r="P357" s="41"/>
      <c r="Q357" s="83"/>
      <c r="R357" s="87"/>
      <c r="S357" s="87"/>
      <c r="T357" s="87"/>
      <c r="U357" s="87"/>
      <c r="V357" s="87"/>
      <c r="X357" s="660" t="s">
        <v>513</v>
      </c>
      <c r="Y357" s="452" t="s">
        <v>63</v>
      </c>
      <c r="Z357" s="474" t="s">
        <v>8</v>
      </c>
      <c r="AA357" s="474" t="s">
        <v>8</v>
      </c>
      <c r="AB357" s="542" t="s">
        <v>309</v>
      </c>
      <c r="AC357" s="454"/>
      <c r="AD357" s="672">
        <f t="shared" si="100"/>
        <v>1330.6</v>
      </c>
      <c r="AE357" s="634">
        <f t="shared" si="100"/>
        <v>612.20000000000005</v>
      </c>
      <c r="AF357" s="645">
        <f t="shared" si="100"/>
        <v>700.7</v>
      </c>
      <c r="AG357" s="180"/>
      <c r="AH357" s="180"/>
      <c r="AI357" s="147"/>
    </row>
    <row r="358" spans="1:35" ht="30.75" customHeight="1" x14ac:dyDescent="0.25">
      <c r="A358" s="90"/>
      <c r="B358" s="78"/>
      <c r="C358" s="78"/>
      <c r="D358" s="78"/>
      <c r="E358" s="80"/>
      <c r="F358" s="79"/>
      <c r="G358" s="81"/>
      <c r="H358" s="40"/>
      <c r="I358" s="91"/>
      <c r="J358" s="91"/>
      <c r="K358" s="91"/>
      <c r="L358" s="81"/>
      <c r="M358" s="91"/>
      <c r="N358" s="81"/>
      <c r="O358" s="82"/>
      <c r="P358" s="41"/>
      <c r="Q358" s="83"/>
      <c r="R358" s="87"/>
      <c r="S358" s="87"/>
      <c r="T358" s="87"/>
      <c r="U358" s="87"/>
      <c r="V358" s="87"/>
      <c r="X358" s="657" t="s">
        <v>775</v>
      </c>
      <c r="Y358" s="452" t="s">
        <v>63</v>
      </c>
      <c r="Z358" s="453" t="s">
        <v>8</v>
      </c>
      <c r="AA358" s="453" t="s">
        <v>8</v>
      </c>
      <c r="AB358" s="542" t="s">
        <v>310</v>
      </c>
      <c r="AC358" s="454"/>
      <c r="AD358" s="672">
        <f>AD359+AD361</f>
        <v>1330.6</v>
      </c>
      <c r="AE358" s="634">
        <f t="shared" ref="AE358:AF358" si="101">AE359+AE361</f>
        <v>612.20000000000005</v>
      </c>
      <c r="AF358" s="645">
        <f t="shared" si="101"/>
        <v>700.7</v>
      </c>
      <c r="AG358" s="180"/>
      <c r="AH358" s="180"/>
      <c r="AI358" s="147"/>
    </row>
    <row r="359" spans="1:35" x14ac:dyDescent="0.25">
      <c r="A359" s="90"/>
      <c r="B359" s="78"/>
      <c r="C359" s="78"/>
      <c r="D359" s="78"/>
      <c r="E359" s="80"/>
      <c r="F359" s="79"/>
      <c r="G359" s="81"/>
      <c r="H359" s="40"/>
      <c r="I359" s="91"/>
      <c r="J359" s="91"/>
      <c r="K359" s="91"/>
      <c r="L359" s="81"/>
      <c r="M359" s="91"/>
      <c r="N359" s="81"/>
      <c r="O359" s="82"/>
      <c r="P359" s="41"/>
      <c r="Q359" s="83"/>
      <c r="R359" s="87"/>
      <c r="S359" s="87"/>
      <c r="T359" s="87"/>
      <c r="U359" s="87"/>
      <c r="V359" s="87"/>
      <c r="X359" s="451" t="s">
        <v>120</v>
      </c>
      <c r="Y359" s="452" t="s">
        <v>63</v>
      </c>
      <c r="Z359" s="474" t="s">
        <v>8</v>
      </c>
      <c r="AA359" s="474" t="s">
        <v>8</v>
      </c>
      <c r="AB359" s="542" t="s">
        <v>310</v>
      </c>
      <c r="AC359" s="454">
        <v>200</v>
      </c>
      <c r="AD359" s="672">
        <f t="shared" si="100"/>
        <v>679.99999999999989</v>
      </c>
      <c r="AE359" s="634">
        <f t="shared" si="100"/>
        <v>450.00000000000006</v>
      </c>
      <c r="AF359" s="645">
        <f t="shared" si="100"/>
        <v>450.00000000000006</v>
      </c>
      <c r="AG359" s="180"/>
      <c r="AH359" s="180"/>
      <c r="AI359" s="147"/>
    </row>
    <row r="360" spans="1:35" ht="31.5" x14ac:dyDescent="0.25">
      <c r="A360" s="90"/>
      <c r="B360" s="78"/>
      <c r="C360" s="78"/>
      <c r="D360" s="78"/>
      <c r="E360" s="80"/>
      <c r="F360" s="79"/>
      <c r="G360" s="81"/>
      <c r="H360" s="40"/>
      <c r="I360" s="91"/>
      <c r="J360" s="91"/>
      <c r="K360" s="91"/>
      <c r="L360" s="81"/>
      <c r="M360" s="91"/>
      <c r="N360" s="81"/>
      <c r="O360" s="82"/>
      <c r="P360" s="41"/>
      <c r="Q360" s="83"/>
      <c r="R360" s="87"/>
      <c r="S360" s="87"/>
      <c r="T360" s="87"/>
      <c r="U360" s="87"/>
      <c r="V360" s="87"/>
      <c r="X360" s="451" t="s">
        <v>52</v>
      </c>
      <c r="Y360" s="452" t="s">
        <v>63</v>
      </c>
      <c r="Z360" s="474" t="s">
        <v>8</v>
      </c>
      <c r="AA360" s="474" t="s">
        <v>8</v>
      </c>
      <c r="AB360" s="542" t="s">
        <v>310</v>
      </c>
      <c r="AC360" s="454">
        <v>240</v>
      </c>
      <c r="AD360" s="672">
        <f>1330.6-650.6</f>
        <v>679.99999999999989</v>
      </c>
      <c r="AE360" s="634">
        <f>612.2-162.2</f>
        <v>450.00000000000006</v>
      </c>
      <c r="AF360" s="645">
        <f>700.7-AF362</f>
        <v>450.00000000000006</v>
      </c>
      <c r="AG360" s="180"/>
      <c r="AH360" s="180"/>
      <c r="AI360" s="147"/>
    </row>
    <row r="361" spans="1:35" ht="31.5" x14ac:dyDescent="0.25">
      <c r="A361" s="90"/>
      <c r="B361" s="493"/>
      <c r="C361" s="493"/>
      <c r="D361" s="493"/>
      <c r="E361" s="495"/>
      <c r="F361" s="494"/>
      <c r="G361" s="496"/>
      <c r="H361" s="40"/>
      <c r="I361" s="91"/>
      <c r="J361" s="91"/>
      <c r="K361" s="91"/>
      <c r="L361" s="496"/>
      <c r="M361" s="91"/>
      <c r="N361" s="496"/>
      <c r="O361" s="82"/>
      <c r="P361" s="41"/>
      <c r="Q361" s="497"/>
      <c r="R361" s="498"/>
      <c r="S361" s="498"/>
      <c r="T361" s="498"/>
      <c r="U361" s="498"/>
      <c r="V361" s="498"/>
      <c r="X361" s="451" t="s">
        <v>60</v>
      </c>
      <c r="Y361" s="452" t="s">
        <v>63</v>
      </c>
      <c r="Z361" s="474" t="s">
        <v>8</v>
      </c>
      <c r="AA361" s="474" t="s">
        <v>8</v>
      </c>
      <c r="AB361" s="542" t="s">
        <v>310</v>
      </c>
      <c r="AC361" s="454">
        <v>600</v>
      </c>
      <c r="AD361" s="672">
        <f>AD362</f>
        <v>650.6</v>
      </c>
      <c r="AE361" s="634">
        <f t="shared" ref="AE361:AF361" si="102">AE362</f>
        <v>162.19999999999999</v>
      </c>
      <c r="AF361" s="645">
        <f t="shared" si="102"/>
        <v>250.7</v>
      </c>
      <c r="AG361" s="506"/>
      <c r="AH361" s="506"/>
      <c r="AI361" s="502"/>
    </row>
    <row r="362" spans="1:35" x14ac:dyDescent="0.25">
      <c r="A362" s="90"/>
      <c r="B362" s="493"/>
      <c r="C362" s="493"/>
      <c r="D362" s="493"/>
      <c r="E362" s="495"/>
      <c r="F362" s="494"/>
      <c r="G362" s="496"/>
      <c r="H362" s="40"/>
      <c r="I362" s="91"/>
      <c r="J362" s="91"/>
      <c r="K362" s="91"/>
      <c r="L362" s="496"/>
      <c r="M362" s="91"/>
      <c r="N362" s="496"/>
      <c r="O362" s="82"/>
      <c r="P362" s="41"/>
      <c r="Q362" s="497"/>
      <c r="R362" s="498"/>
      <c r="S362" s="498"/>
      <c r="T362" s="498"/>
      <c r="U362" s="498"/>
      <c r="V362" s="498"/>
      <c r="X362" s="451" t="s">
        <v>61</v>
      </c>
      <c r="Y362" s="452" t="s">
        <v>63</v>
      </c>
      <c r="Z362" s="474" t="s">
        <v>8</v>
      </c>
      <c r="AA362" s="474" t="s">
        <v>8</v>
      </c>
      <c r="AB362" s="542" t="s">
        <v>310</v>
      </c>
      <c r="AC362" s="454">
        <v>610</v>
      </c>
      <c r="AD362" s="672">
        <v>650.6</v>
      </c>
      <c r="AE362" s="634">
        <v>162.19999999999999</v>
      </c>
      <c r="AF362" s="645">
        <v>250.7</v>
      </c>
      <c r="AG362" s="506"/>
      <c r="AH362" s="506"/>
      <c r="AI362" s="502"/>
    </row>
    <row r="363" spans="1:35" ht="31.5" x14ac:dyDescent="0.25">
      <c r="A363" s="90"/>
      <c r="B363" s="493"/>
      <c r="C363" s="493"/>
      <c r="D363" s="493"/>
      <c r="E363" s="495"/>
      <c r="F363" s="494"/>
      <c r="G363" s="496"/>
      <c r="H363" s="40"/>
      <c r="I363" s="91"/>
      <c r="J363" s="91"/>
      <c r="K363" s="91"/>
      <c r="L363" s="496"/>
      <c r="M363" s="91"/>
      <c r="N363" s="496"/>
      <c r="O363" s="82"/>
      <c r="P363" s="41"/>
      <c r="Q363" s="497"/>
      <c r="R363" s="498"/>
      <c r="S363" s="498"/>
      <c r="T363" s="498"/>
      <c r="U363" s="498"/>
      <c r="V363" s="498"/>
      <c r="X363" s="451" t="s">
        <v>814</v>
      </c>
      <c r="Y363" s="452" t="s">
        <v>63</v>
      </c>
      <c r="Z363" s="474" t="s">
        <v>8</v>
      </c>
      <c r="AA363" s="474" t="s">
        <v>8</v>
      </c>
      <c r="AB363" s="543" t="s">
        <v>818</v>
      </c>
      <c r="AC363" s="454"/>
      <c r="AD363" s="672">
        <f>AD364</f>
        <v>150</v>
      </c>
      <c r="AE363" s="672">
        <f t="shared" ref="AE363:AF366" si="103">AE364</f>
        <v>0</v>
      </c>
      <c r="AF363" s="672">
        <f t="shared" si="103"/>
        <v>0</v>
      </c>
      <c r="AG363" s="506"/>
      <c r="AH363" s="506"/>
      <c r="AI363" s="502"/>
    </row>
    <row r="364" spans="1:35" ht="31.5" x14ac:dyDescent="0.25">
      <c r="A364" s="90"/>
      <c r="B364" s="493"/>
      <c r="C364" s="493"/>
      <c r="D364" s="493"/>
      <c r="E364" s="495"/>
      <c r="F364" s="494"/>
      <c r="G364" s="496"/>
      <c r="H364" s="40"/>
      <c r="I364" s="91"/>
      <c r="J364" s="91"/>
      <c r="K364" s="91"/>
      <c r="L364" s="496"/>
      <c r="M364" s="91"/>
      <c r="N364" s="496"/>
      <c r="O364" s="82"/>
      <c r="P364" s="41"/>
      <c r="Q364" s="497"/>
      <c r="R364" s="498"/>
      <c r="S364" s="498"/>
      <c r="T364" s="498"/>
      <c r="U364" s="498"/>
      <c r="V364" s="498"/>
      <c r="X364" s="451" t="s">
        <v>813</v>
      </c>
      <c r="Y364" s="452" t="s">
        <v>63</v>
      </c>
      <c r="Z364" s="453" t="s">
        <v>8</v>
      </c>
      <c r="AA364" s="453" t="s">
        <v>8</v>
      </c>
      <c r="AB364" s="543" t="s">
        <v>817</v>
      </c>
      <c r="AC364" s="454"/>
      <c r="AD364" s="672">
        <f>AD365</f>
        <v>150</v>
      </c>
      <c r="AE364" s="672">
        <f t="shared" si="103"/>
        <v>0</v>
      </c>
      <c r="AF364" s="672">
        <f t="shared" si="103"/>
        <v>0</v>
      </c>
      <c r="AG364" s="506"/>
      <c r="AH364" s="506"/>
      <c r="AI364" s="502"/>
    </row>
    <row r="365" spans="1:35" x14ac:dyDescent="0.25">
      <c r="A365" s="90"/>
      <c r="B365" s="493"/>
      <c r="C365" s="493"/>
      <c r="D365" s="493"/>
      <c r="E365" s="495"/>
      <c r="F365" s="494"/>
      <c r="G365" s="496"/>
      <c r="H365" s="40"/>
      <c r="I365" s="91"/>
      <c r="J365" s="91"/>
      <c r="K365" s="91"/>
      <c r="L365" s="496"/>
      <c r="M365" s="91"/>
      <c r="N365" s="496"/>
      <c r="O365" s="82"/>
      <c r="P365" s="41"/>
      <c r="Q365" s="497"/>
      <c r="R365" s="498"/>
      <c r="S365" s="498"/>
      <c r="T365" s="498"/>
      <c r="U365" s="498"/>
      <c r="V365" s="498"/>
      <c r="X365" s="451" t="s">
        <v>815</v>
      </c>
      <c r="Y365" s="452" t="s">
        <v>63</v>
      </c>
      <c r="Z365" s="474" t="s">
        <v>8</v>
      </c>
      <c r="AA365" s="474" t="s">
        <v>8</v>
      </c>
      <c r="AB365" s="543" t="s">
        <v>816</v>
      </c>
      <c r="AC365" s="454"/>
      <c r="AD365" s="672">
        <f>AD366</f>
        <v>150</v>
      </c>
      <c r="AE365" s="672">
        <f t="shared" si="103"/>
        <v>0</v>
      </c>
      <c r="AF365" s="672">
        <f t="shared" si="103"/>
        <v>0</v>
      </c>
      <c r="AG365" s="506"/>
      <c r="AH365" s="506"/>
      <c r="AI365" s="502"/>
    </row>
    <row r="366" spans="1:35" ht="31.5" x14ac:dyDescent="0.25">
      <c r="A366" s="90"/>
      <c r="B366" s="493"/>
      <c r="C366" s="493"/>
      <c r="D366" s="493"/>
      <c r="E366" s="495"/>
      <c r="F366" s="494"/>
      <c r="G366" s="496"/>
      <c r="H366" s="40"/>
      <c r="I366" s="91"/>
      <c r="J366" s="91"/>
      <c r="K366" s="91"/>
      <c r="L366" s="496"/>
      <c r="M366" s="91"/>
      <c r="N366" s="496"/>
      <c r="O366" s="82"/>
      <c r="P366" s="41"/>
      <c r="Q366" s="497"/>
      <c r="R366" s="498"/>
      <c r="S366" s="498"/>
      <c r="T366" s="498"/>
      <c r="U366" s="498"/>
      <c r="V366" s="498"/>
      <c r="X366" s="451" t="s">
        <v>60</v>
      </c>
      <c r="Y366" s="452" t="s">
        <v>63</v>
      </c>
      <c r="Z366" s="474" t="s">
        <v>8</v>
      </c>
      <c r="AA366" s="474" t="s">
        <v>8</v>
      </c>
      <c r="AB366" s="543" t="s">
        <v>816</v>
      </c>
      <c r="AC366" s="454">
        <v>600</v>
      </c>
      <c r="AD366" s="672">
        <f>AD367</f>
        <v>150</v>
      </c>
      <c r="AE366" s="672">
        <f t="shared" si="103"/>
        <v>0</v>
      </c>
      <c r="AF366" s="672">
        <f t="shared" si="103"/>
        <v>0</v>
      </c>
      <c r="AG366" s="506"/>
      <c r="AH366" s="506"/>
      <c r="AI366" s="502"/>
    </row>
    <row r="367" spans="1:35" x14ac:dyDescent="0.25">
      <c r="A367" s="90"/>
      <c r="B367" s="493"/>
      <c r="C367" s="493"/>
      <c r="D367" s="493"/>
      <c r="E367" s="495"/>
      <c r="F367" s="494"/>
      <c r="G367" s="496"/>
      <c r="H367" s="40"/>
      <c r="I367" s="91"/>
      <c r="J367" s="91"/>
      <c r="K367" s="91"/>
      <c r="L367" s="496"/>
      <c r="M367" s="91"/>
      <c r="N367" s="496"/>
      <c r="O367" s="82"/>
      <c r="P367" s="41"/>
      <c r="Q367" s="497"/>
      <c r="R367" s="498"/>
      <c r="S367" s="498"/>
      <c r="T367" s="498"/>
      <c r="U367" s="498"/>
      <c r="V367" s="498"/>
      <c r="X367" s="451" t="s">
        <v>61</v>
      </c>
      <c r="Y367" s="452" t="s">
        <v>63</v>
      </c>
      <c r="Z367" s="474" t="s">
        <v>8</v>
      </c>
      <c r="AA367" s="474" t="s">
        <v>8</v>
      </c>
      <c r="AB367" s="543" t="s">
        <v>816</v>
      </c>
      <c r="AC367" s="454">
        <v>610</v>
      </c>
      <c r="AD367" s="672">
        <v>150</v>
      </c>
      <c r="AE367" s="634">
        <v>0</v>
      </c>
      <c r="AF367" s="645">
        <v>0</v>
      </c>
      <c r="AG367" s="506"/>
      <c r="AH367" s="506"/>
      <c r="AI367" s="502"/>
    </row>
    <row r="368" spans="1:35" x14ac:dyDescent="0.25">
      <c r="A368" s="90"/>
      <c r="B368" s="78"/>
      <c r="C368" s="78"/>
      <c r="D368" s="78"/>
      <c r="E368" s="80"/>
      <c r="F368" s="79"/>
      <c r="G368" s="81"/>
      <c r="H368" s="40"/>
      <c r="I368" s="91"/>
      <c r="J368" s="91"/>
      <c r="K368" s="91"/>
      <c r="L368" s="81"/>
      <c r="M368" s="91"/>
      <c r="N368" s="81"/>
      <c r="O368" s="82"/>
      <c r="P368" s="41"/>
      <c r="Q368" s="83"/>
      <c r="R368" s="87"/>
      <c r="S368" s="87"/>
      <c r="T368" s="87"/>
      <c r="U368" s="87"/>
      <c r="V368" s="87"/>
      <c r="X368" s="451" t="s">
        <v>38</v>
      </c>
      <c r="Y368" s="452" t="s">
        <v>63</v>
      </c>
      <c r="Z368" s="453" t="s">
        <v>8</v>
      </c>
      <c r="AA368" s="453" t="s">
        <v>22</v>
      </c>
      <c r="AB368" s="541"/>
      <c r="AC368" s="454"/>
      <c r="AD368" s="672">
        <f>AD370</f>
        <v>2960</v>
      </c>
      <c r="AE368" s="634">
        <f>AE370</f>
        <v>3040</v>
      </c>
      <c r="AF368" s="645">
        <f>AF370</f>
        <v>3060</v>
      </c>
      <c r="AG368" s="180"/>
      <c r="AH368" s="180"/>
      <c r="AI368" s="147"/>
    </row>
    <row r="369" spans="1:35" x14ac:dyDescent="0.25">
      <c r="A369" s="90"/>
      <c r="B369" s="78"/>
      <c r="C369" s="78"/>
      <c r="D369" s="78"/>
      <c r="E369" s="80"/>
      <c r="F369" s="79"/>
      <c r="G369" s="81"/>
      <c r="H369" s="40"/>
      <c r="I369" s="91"/>
      <c r="J369" s="91"/>
      <c r="K369" s="91"/>
      <c r="L369" s="81"/>
      <c r="M369" s="91"/>
      <c r="N369" s="81"/>
      <c r="O369" s="82"/>
      <c r="P369" s="41"/>
      <c r="Q369" s="83"/>
      <c r="R369" s="87"/>
      <c r="S369" s="87"/>
      <c r="T369" s="87"/>
      <c r="U369" s="87"/>
      <c r="V369" s="87"/>
      <c r="X369" s="457" t="s">
        <v>292</v>
      </c>
      <c r="Y369" s="452" t="s">
        <v>63</v>
      </c>
      <c r="Z369" s="453" t="s">
        <v>8</v>
      </c>
      <c r="AA369" s="453" t="s">
        <v>22</v>
      </c>
      <c r="AB369" s="542" t="s">
        <v>109</v>
      </c>
      <c r="AC369" s="454"/>
      <c r="AD369" s="672">
        <f t="shared" ref="AD369:AF372" si="104">AD370</f>
        <v>2960</v>
      </c>
      <c r="AE369" s="634">
        <f t="shared" si="104"/>
        <v>3040</v>
      </c>
      <c r="AF369" s="645">
        <f t="shared" si="104"/>
        <v>3060</v>
      </c>
      <c r="AG369" s="180"/>
      <c r="AH369" s="180"/>
      <c r="AI369" s="147"/>
    </row>
    <row r="370" spans="1:35" x14ac:dyDescent="0.25">
      <c r="A370" s="90"/>
      <c r="B370" s="78"/>
      <c r="C370" s="78"/>
      <c r="D370" s="78"/>
      <c r="E370" s="80"/>
      <c r="F370" s="79"/>
      <c r="G370" s="81"/>
      <c r="H370" s="40"/>
      <c r="I370" s="91"/>
      <c r="J370" s="91"/>
      <c r="K370" s="91"/>
      <c r="L370" s="73"/>
      <c r="M370" s="91"/>
      <c r="N370" s="73"/>
      <c r="O370" s="82"/>
      <c r="P370" s="41"/>
      <c r="Q370" s="83"/>
      <c r="R370" s="87"/>
      <c r="S370" s="87"/>
      <c r="T370" s="87"/>
      <c r="U370" s="87"/>
      <c r="V370" s="87"/>
      <c r="X370" s="457" t="s">
        <v>296</v>
      </c>
      <c r="Y370" s="452" t="s">
        <v>63</v>
      </c>
      <c r="Z370" s="453" t="s">
        <v>8</v>
      </c>
      <c r="AA370" s="453" t="s">
        <v>22</v>
      </c>
      <c r="AB370" s="542" t="s">
        <v>110</v>
      </c>
      <c r="AC370" s="454"/>
      <c r="AD370" s="672">
        <f t="shared" si="104"/>
        <v>2960</v>
      </c>
      <c r="AE370" s="634">
        <f t="shared" si="104"/>
        <v>3040</v>
      </c>
      <c r="AF370" s="645">
        <f t="shared" si="104"/>
        <v>3060</v>
      </c>
      <c r="AG370" s="180"/>
      <c r="AH370" s="180"/>
      <c r="AI370" s="147"/>
    </row>
    <row r="371" spans="1:35" x14ac:dyDescent="0.25">
      <c r="A371" s="90"/>
      <c r="B371" s="78"/>
      <c r="C371" s="78"/>
      <c r="D371" s="78"/>
      <c r="E371" s="80"/>
      <c r="F371" s="79"/>
      <c r="G371" s="81"/>
      <c r="H371" s="40"/>
      <c r="I371" s="91"/>
      <c r="J371" s="91"/>
      <c r="K371" s="91"/>
      <c r="L371" s="73"/>
      <c r="M371" s="91"/>
      <c r="N371" s="73"/>
      <c r="O371" s="82"/>
      <c r="P371" s="41"/>
      <c r="Q371" s="83"/>
      <c r="R371" s="87"/>
      <c r="S371" s="87"/>
      <c r="T371" s="87"/>
      <c r="U371" s="87"/>
      <c r="V371" s="87"/>
      <c r="X371" s="664" t="s">
        <v>504</v>
      </c>
      <c r="Y371" s="452" t="s">
        <v>63</v>
      </c>
      <c r="Z371" s="453" t="s">
        <v>8</v>
      </c>
      <c r="AA371" s="453" t="s">
        <v>22</v>
      </c>
      <c r="AB371" s="542" t="s">
        <v>503</v>
      </c>
      <c r="AC371" s="454"/>
      <c r="AD371" s="672">
        <f t="shared" si="104"/>
        <v>2960</v>
      </c>
      <c r="AE371" s="634">
        <f t="shared" si="104"/>
        <v>3040</v>
      </c>
      <c r="AF371" s="645">
        <f t="shared" si="104"/>
        <v>3060</v>
      </c>
      <c r="AG371" s="180"/>
      <c r="AH371" s="180"/>
      <c r="AI371" s="147"/>
    </row>
    <row r="372" spans="1:35" x14ac:dyDescent="0.25">
      <c r="A372" s="90"/>
      <c r="B372" s="78"/>
      <c r="C372" s="78"/>
      <c r="D372" s="78"/>
      <c r="E372" s="80"/>
      <c r="F372" s="79"/>
      <c r="G372" s="81"/>
      <c r="H372" s="40"/>
      <c r="I372" s="91"/>
      <c r="J372" s="91"/>
      <c r="K372" s="91"/>
      <c r="L372" s="73"/>
      <c r="M372" s="91"/>
      <c r="N372" s="73"/>
      <c r="O372" s="82"/>
      <c r="P372" s="41"/>
      <c r="Q372" s="83"/>
      <c r="R372" s="87"/>
      <c r="S372" s="87"/>
      <c r="T372" s="87"/>
      <c r="U372" s="87"/>
      <c r="V372" s="87"/>
      <c r="X372" s="465" t="s">
        <v>297</v>
      </c>
      <c r="Y372" s="452" t="s">
        <v>63</v>
      </c>
      <c r="Z372" s="453" t="s">
        <v>8</v>
      </c>
      <c r="AA372" s="453" t="s">
        <v>22</v>
      </c>
      <c r="AB372" s="542" t="s">
        <v>505</v>
      </c>
      <c r="AC372" s="454"/>
      <c r="AD372" s="672">
        <f t="shared" si="104"/>
        <v>2960</v>
      </c>
      <c r="AE372" s="634">
        <f t="shared" si="104"/>
        <v>3040</v>
      </c>
      <c r="AF372" s="645">
        <f t="shared" si="104"/>
        <v>3060</v>
      </c>
      <c r="AG372" s="180"/>
      <c r="AH372" s="180"/>
      <c r="AI372" s="147"/>
    </row>
    <row r="373" spans="1:35" ht="47.25" x14ac:dyDescent="0.25">
      <c r="A373" s="90"/>
      <c r="B373" s="78"/>
      <c r="C373" s="78"/>
      <c r="D373" s="78"/>
      <c r="E373" s="80"/>
      <c r="F373" s="79"/>
      <c r="G373" s="81"/>
      <c r="H373" s="40"/>
      <c r="I373" s="91"/>
      <c r="J373" s="91"/>
      <c r="K373" s="91"/>
      <c r="L373" s="73"/>
      <c r="M373" s="91"/>
      <c r="N373" s="73"/>
      <c r="O373" s="82"/>
      <c r="P373" s="41"/>
      <c r="Q373" s="83"/>
      <c r="R373" s="87"/>
      <c r="S373" s="87"/>
      <c r="T373" s="87"/>
      <c r="U373" s="87"/>
      <c r="V373" s="87"/>
      <c r="X373" s="465" t="s">
        <v>317</v>
      </c>
      <c r="Y373" s="452" t="s">
        <v>63</v>
      </c>
      <c r="Z373" s="453" t="s">
        <v>8</v>
      </c>
      <c r="AA373" s="453" t="s">
        <v>22</v>
      </c>
      <c r="AB373" s="542" t="s">
        <v>506</v>
      </c>
      <c r="AC373" s="454"/>
      <c r="AD373" s="672">
        <f>AD376+AD374+AD378</f>
        <v>2960</v>
      </c>
      <c r="AE373" s="634">
        <f>AE376+AE374</f>
        <v>3040</v>
      </c>
      <c r="AF373" s="645">
        <f>AF376+AF374</f>
        <v>3060</v>
      </c>
      <c r="AG373" s="180"/>
      <c r="AH373" s="180"/>
      <c r="AI373" s="147"/>
    </row>
    <row r="374" spans="1:35" x14ac:dyDescent="0.25">
      <c r="A374" s="90"/>
      <c r="B374" s="78"/>
      <c r="C374" s="78"/>
      <c r="D374" s="78"/>
      <c r="E374" s="80"/>
      <c r="F374" s="79"/>
      <c r="G374" s="81"/>
      <c r="H374" s="40"/>
      <c r="I374" s="91"/>
      <c r="J374" s="91"/>
      <c r="K374" s="91"/>
      <c r="L374" s="73"/>
      <c r="M374" s="91"/>
      <c r="N374" s="73"/>
      <c r="O374" s="82"/>
      <c r="P374" s="41"/>
      <c r="Q374" s="83"/>
      <c r="R374" s="87"/>
      <c r="S374" s="87"/>
      <c r="T374" s="87"/>
      <c r="U374" s="87"/>
      <c r="V374" s="87"/>
      <c r="X374" s="654" t="s">
        <v>120</v>
      </c>
      <c r="Y374" s="452" t="s">
        <v>63</v>
      </c>
      <c r="Z374" s="453" t="s">
        <v>8</v>
      </c>
      <c r="AA374" s="453" t="s">
        <v>22</v>
      </c>
      <c r="AB374" s="542" t="s">
        <v>506</v>
      </c>
      <c r="AC374" s="454">
        <v>200</v>
      </c>
      <c r="AD374" s="672">
        <f>AD375</f>
        <v>2695.8</v>
      </c>
      <c r="AE374" s="634">
        <f>AE375</f>
        <v>2820</v>
      </c>
      <c r="AF374" s="645">
        <f>AF375</f>
        <v>2840</v>
      </c>
      <c r="AG374" s="180"/>
      <c r="AH374" s="180"/>
      <c r="AI374" s="147"/>
    </row>
    <row r="375" spans="1:35" ht="31.5" x14ac:dyDescent="0.25">
      <c r="A375" s="90"/>
      <c r="B375" s="78"/>
      <c r="C375" s="78"/>
      <c r="D375" s="78"/>
      <c r="E375" s="80"/>
      <c r="F375" s="79"/>
      <c r="G375" s="81"/>
      <c r="H375" s="40"/>
      <c r="I375" s="91"/>
      <c r="J375" s="91"/>
      <c r="K375" s="91"/>
      <c r="L375" s="73"/>
      <c r="M375" s="91"/>
      <c r="N375" s="73"/>
      <c r="O375" s="82"/>
      <c r="P375" s="41"/>
      <c r="Q375" s="83"/>
      <c r="R375" s="87"/>
      <c r="S375" s="87"/>
      <c r="T375" s="87"/>
      <c r="U375" s="87"/>
      <c r="V375" s="87"/>
      <c r="X375" s="654" t="s">
        <v>52</v>
      </c>
      <c r="Y375" s="452" t="s">
        <v>63</v>
      </c>
      <c r="Z375" s="453" t="s">
        <v>8</v>
      </c>
      <c r="AA375" s="453" t="s">
        <v>22</v>
      </c>
      <c r="AB375" s="542" t="s">
        <v>506</v>
      </c>
      <c r="AC375" s="454">
        <v>240</v>
      </c>
      <c r="AD375" s="672">
        <f>2700-4.2</f>
        <v>2695.8</v>
      </c>
      <c r="AE375" s="634">
        <f>2650+170</f>
        <v>2820</v>
      </c>
      <c r="AF375" s="645">
        <f>2670+170</f>
        <v>2840</v>
      </c>
      <c r="AG375" s="180"/>
      <c r="AH375" s="180"/>
      <c r="AI375" s="147"/>
    </row>
    <row r="376" spans="1:35" x14ac:dyDescent="0.25">
      <c r="A376" s="90"/>
      <c r="B376" s="78"/>
      <c r="C376" s="78"/>
      <c r="D376" s="78"/>
      <c r="E376" s="80"/>
      <c r="F376" s="79"/>
      <c r="G376" s="81"/>
      <c r="H376" s="40"/>
      <c r="I376" s="91"/>
      <c r="J376" s="91"/>
      <c r="K376" s="91"/>
      <c r="L376" s="73"/>
      <c r="M376" s="91"/>
      <c r="N376" s="73"/>
      <c r="O376" s="82"/>
      <c r="P376" s="41"/>
      <c r="Q376" s="83"/>
      <c r="R376" s="87"/>
      <c r="S376" s="87"/>
      <c r="T376" s="87"/>
      <c r="U376" s="87"/>
      <c r="V376" s="87"/>
      <c r="X376" s="451" t="s">
        <v>97</v>
      </c>
      <c r="Y376" s="452" t="s">
        <v>63</v>
      </c>
      <c r="Z376" s="453" t="s">
        <v>8</v>
      </c>
      <c r="AA376" s="453" t="s">
        <v>22</v>
      </c>
      <c r="AB376" s="542" t="s">
        <v>506</v>
      </c>
      <c r="AC376" s="454">
        <v>300</v>
      </c>
      <c r="AD376" s="672">
        <f>AD377</f>
        <v>260</v>
      </c>
      <c r="AE376" s="634">
        <f>AE377</f>
        <v>220</v>
      </c>
      <c r="AF376" s="645">
        <f>AF377</f>
        <v>220</v>
      </c>
      <c r="AG376" s="180"/>
      <c r="AH376" s="180"/>
      <c r="AI376" s="147"/>
    </row>
    <row r="377" spans="1:35" x14ac:dyDescent="0.25">
      <c r="A377" s="90"/>
      <c r="B377" s="78"/>
      <c r="C377" s="78"/>
      <c r="D377" s="78"/>
      <c r="E377" s="80"/>
      <c r="F377" s="79"/>
      <c r="G377" s="81"/>
      <c r="H377" s="40"/>
      <c r="I377" s="91"/>
      <c r="J377" s="91"/>
      <c r="K377" s="91"/>
      <c r="L377" s="73"/>
      <c r="M377" s="91"/>
      <c r="N377" s="73"/>
      <c r="O377" s="82"/>
      <c r="P377" s="41"/>
      <c r="Q377" s="83"/>
      <c r="R377" s="87"/>
      <c r="S377" s="87"/>
      <c r="T377" s="87"/>
      <c r="U377" s="87"/>
      <c r="V377" s="87"/>
      <c r="X377" s="451" t="s">
        <v>40</v>
      </c>
      <c r="Y377" s="452" t="s">
        <v>63</v>
      </c>
      <c r="Z377" s="453" t="s">
        <v>8</v>
      </c>
      <c r="AA377" s="453" t="s">
        <v>22</v>
      </c>
      <c r="AB377" s="542" t="s">
        <v>506</v>
      </c>
      <c r="AC377" s="454">
        <v>320</v>
      </c>
      <c r="AD377" s="672">
        <v>260</v>
      </c>
      <c r="AE377" s="634">
        <v>220</v>
      </c>
      <c r="AF377" s="645">
        <v>220</v>
      </c>
      <c r="AG377" s="180"/>
      <c r="AH377" s="180"/>
      <c r="AI377" s="147"/>
    </row>
    <row r="378" spans="1:35" ht="31.5" x14ac:dyDescent="0.25">
      <c r="A378" s="90"/>
      <c r="B378" s="493"/>
      <c r="C378" s="493"/>
      <c r="D378" s="493"/>
      <c r="E378" s="495"/>
      <c r="F378" s="494"/>
      <c r="G378" s="496"/>
      <c r="H378" s="40"/>
      <c r="I378" s="91"/>
      <c r="J378" s="91"/>
      <c r="K378" s="91"/>
      <c r="L378" s="492"/>
      <c r="M378" s="91"/>
      <c r="N378" s="492"/>
      <c r="O378" s="82"/>
      <c r="P378" s="41"/>
      <c r="Q378" s="497"/>
      <c r="R378" s="498"/>
      <c r="S378" s="498"/>
      <c r="T378" s="498"/>
      <c r="U378" s="498"/>
      <c r="V378" s="498"/>
      <c r="X378" s="451" t="s">
        <v>60</v>
      </c>
      <c r="Y378" s="452" t="s">
        <v>63</v>
      </c>
      <c r="Z378" s="453" t="s">
        <v>8</v>
      </c>
      <c r="AA378" s="453" t="s">
        <v>22</v>
      </c>
      <c r="AB378" s="542" t="s">
        <v>506</v>
      </c>
      <c r="AC378" s="454">
        <v>600</v>
      </c>
      <c r="AD378" s="672">
        <f>AD379</f>
        <v>4.2</v>
      </c>
      <c r="AE378" s="672">
        <f t="shared" ref="AE378:AF378" si="105">AE379</f>
        <v>0</v>
      </c>
      <c r="AF378" s="672">
        <f t="shared" si="105"/>
        <v>0</v>
      </c>
      <c r="AG378" s="506"/>
      <c r="AH378" s="506"/>
      <c r="AI378" s="502"/>
    </row>
    <row r="379" spans="1:35" x14ac:dyDescent="0.25">
      <c r="A379" s="90"/>
      <c r="B379" s="493"/>
      <c r="C379" s="493"/>
      <c r="D379" s="493"/>
      <c r="E379" s="495"/>
      <c r="F379" s="494"/>
      <c r="G379" s="496"/>
      <c r="H379" s="40"/>
      <c r="I379" s="91"/>
      <c r="J379" s="91"/>
      <c r="K379" s="91"/>
      <c r="L379" s="492"/>
      <c r="M379" s="91"/>
      <c r="N379" s="492"/>
      <c r="O379" s="82"/>
      <c r="P379" s="41"/>
      <c r="Q379" s="497"/>
      <c r="R379" s="498"/>
      <c r="S379" s="498"/>
      <c r="T379" s="498"/>
      <c r="U379" s="498"/>
      <c r="V379" s="498"/>
      <c r="X379" s="451" t="s">
        <v>61</v>
      </c>
      <c r="Y379" s="452" t="s">
        <v>63</v>
      </c>
      <c r="Z379" s="453" t="s">
        <v>8</v>
      </c>
      <c r="AA379" s="453" t="s">
        <v>22</v>
      </c>
      <c r="AB379" s="542" t="s">
        <v>506</v>
      </c>
      <c r="AC379" s="454">
        <v>610</v>
      </c>
      <c r="AD379" s="672">
        <v>4.2</v>
      </c>
      <c r="AE379" s="634">
        <v>0</v>
      </c>
      <c r="AF379" s="645">
        <v>0</v>
      </c>
      <c r="AG379" s="506"/>
      <c r="AH379" s="506"/>
      <c r="AI379" s="502"/>
    </row>
    <row r="380" spans="1:35" s="77" customFormat="1" ht="18.75" x14ac:dyDescent="0.3">
      <c r="A380" s="68"/>
      <c r="B380" s="69"/>
      <c r="C380" s="71"/>
      <c r="D380" s="72"/>
      <c r="E380" s="72"/>
      <c r="F380" s="72"/>
      <c r="G380" s="73"/>
      <c r="H380" s="73"/>
      <c r="I380" s="73"/>
      <c r="J380" s="73"/>
      <c r="K380" s="73"/>
      <c r="L380" s="125"/>
      <c r="M380" s="73"/>
      <c r="N380" s="73"/>
      <c r="O380" s="74"/>
      <c r="P380" s="73"/>
      <c r="Q380" s="75"/>
      <c r="R380" s="95"/>
      <c r="S380" s="95"/>
      <c r="T380" s="95"/>
      <c r="U380" s="95"/>
      <c r="V380" s="95"/>
      <c r="W380" s="95"/>
      <c r="X380" s="653" t="s">
        <v>21</v>
      </c>
      <c r="Y380" s="448" t="s">
        <v>63</v>
      </c>
      <c r="Z380" s="471" t="s">
        <v>16</v>
      </c>
      <c r="AA380" s="540"/>
      <c r="AB380" s="539"/>
      <c r="AC380" s="476"/>
      <c r="AD380" s="671">
        <f t="shared" ref="AD380:AF380" si="106">AD381</f>
        <v>204945.09999999998</v>
      </c>
      <c r="AE380" s="633">
        <f t="shared" si="106"/>
        <v>168096</v>
      </c>
      <c r="AF380" s="644">
        <f t="shared" si="106"/>
        <v>153265.90000000002</v>
      </c>
      <c r="AG380" s="205"/>
      <c r="AH380" s="205"/>
      <c r="AI380" s="147"/>
    </row>
    <row r="381" spans="1:35" s="103" customFormat="1" x14ac:dyDescent="0.25">
      <c r="A381" s="47"/>
      <c r="B381" s="78"/>
      <c r="C381" s="79"/>
      <c r="D381" s="79"/>
      <c r="E381" s="80"/>
      <c r="F381" s="80"/>
      <c r="G381" s="81"/>
      <c r="H381" s="81"/>
      <c r="I381" s="81"/>
      <c r="J381" s="81"/>
      <c r="K381" s="81"/>
      <c r="L381" s="73"/>
      <c r="M381" s="81"/>
      <c r="N381" s="73"/>
      <c r="O381" s="92"/>
      <c r="P381" s="81"/>
      <c r="Q381" s="83"/>
      <c r="R381" s="87"/>
      <c r="S381" s="87"/>
      <c r="T381" s="87"/>
      <c r="U381" s="87"/>
      <c r="V381" s="87"/>
      <c r="W381" s="87"/>
      <c r="X381" s="451" t="s">
        <v>64</v>
      </c>
      <c r="Y381" s="452" t="s">
        <v>63</v>
      </c>
      <c r="Z381" s="453" t="s">
        <v>16</v>
      </c>
      <c r="AA381" s="453" t="s">
        <v>29</v>
      </c>
      <c r="AB381" s="541"/>
      <c r="AC381" s="482"/>
      <c r="AD381" s="672">
        <f>AD382+AD429</f>
        <v>204945.09999999998</v>
      </c>
      <c r="AE381" s="634">
        <f>AE382+AE429</f>
        <v>168096</v>
      </c>
      <c r="AF381" s="645">
        <f>AF382+AF429</f>
        <v>153265.90000000002</v>
      </c>
      <c r="AG381" s="180"/>
      <c r="AH381" s="180"/>
      <c r="AI381" s="147"/>
    </row>
    <row r="382" spans="1:35" s="103" customFormat="1" x14ac:dyDescent="0.25">
      <c r="A382" s="47"/>
      <c r="B382" s="78"/>
      <c r="C382" s="79"/>
      <c r="D382" s="79"/>
      <c r="E382" s="80"/>
      <c r="F382" s="80"/>
      <c r="G382" s="81"/>
      <c r="H382" s="81"/>
      <c r="I382" s="81"/>
      <c r="J382" s="81"/>
      <c r="K382" s="81"/>
      <c r="L382" s="81"/>
      <c r="M382" s="81"/>
      <c r="N382" s="81"/>
      <c r="O382" s="92"/>
      <c r="P382" s="81"/>
      <c r="Q382" s="83"/>
      <c r="R382" s="87"/>
      <c r="S382" s="87"/>
      <c r="T382" s="87"/>
      <c r="U382" s="87"/>
      <c r="V382" s="87"/>
      <c r="W382" s="87"/>
      <c r="X382" s="459" t="s">
        <v>573</v>
      </c>
      <c r="Y382" s="452" t="s">
        <v>63</v>
      </c>
      <c r="Z382" s="453" t="s">
        <v>16</v>
      </c>
      <c r="AA382" s="453" t="s">
        <v>29</v>
      </c>
      <c r="AB382" s="542" t="s">
        <v>114</v>
      </c>
      <c r="AC382" s="482"/>
      <c r="AD382" s="672">
        <f>AD383+AD392+AD403</f>
        <v>186307.8</v>
      </c>
      <c r="AE382" s="634">
        <f>AE383+AE392+AE403</f>
        <v>146624</v>
      </c>
      <c r="AF382" s="645">
        <f>AF383+AF392+AF403</f>
        <v>130913.90000000001</v>
      </c>
      <c r="AG382" s="180"/>
      <c r="AH382" s="180"/>
      <c r="AI382" s="147"/>
    </row>
    <row r="383" spans="1:35" s="103" customFormat="1" x14ac:dyDescent="0.25">
      <c r="A383" s="47"/>
      <c r="B383" s="78"/>
      <c r="C383" s="79"/>
      <c r="D383" s="79"/>
      <c r="E383" s="80"/>
      <c r="F383" s="80"/>
      <c r="G383" s="81"/>
      <c r="H383" s="81"/>
      <c r="I383" s="81"/>
      <c r="J383" s="81"/>
      <c r="K383" s="81"/>
      <c r="L383" s="73"/>
      <c r="M383" s="81"/>
      <c r="N383" s="73"/>
      <c r="O383" s="92"/>
      <c r="P383" s="81"/>
      <c r="Q383" s="83"/>
      <c r="R383" s="87"/>
      <c r="S383" s="87"/>
      <c r="T383" s="87"/>
      <c r="U383" s="87"/>
      <c r="V383" s="87"/>
      <c r="W383" s="87"/>
      <c r="X383" s="459" t="s">
        <v>499</v>
      </c>
      <c r="Y383" s="452" t="s">
        <v>63</v>
      </c>
      <c r="Z383" s="453" t="s">
        <v>16</v>
      </c>
      <c r="AA383" s="453" t="s">
        <v>29</v>
      </c>
      <c r="AB383" s="542" t="s">
        <v>313</v>
      </c>
      <c r="AC383" s="482"/>
      <c r="AD383" s="672">
        <f>AD384+AD389</f>
        <v>33818.6</v>
      </c>
      <c r="AE383" s="672">
        <f t="shared" ref="AE383:AF383" si="107">AE384+AE389</f>
        <v>29355.8</v>
      </c>
      <c r="AF383" s="672">
        <f t="shared" si="107"/>
        <v>29511.7</v>
      </c>
      <c r="AG383" s="180"/>
      <c r="AH383" s="180"/>
      <c r="AI383" s="147"/>
    </row>
    <row r="384" spans="1:35" s="103" customFormat="1" x14ac:dyDescent="0.25">
      <c r="A384" s="47"/>
      <c r="B384" s="78"/>
      <c r="C384" s="79"/>
      <c r="D384" s="79"/>
      <c r="E384" s="80"/>
      <c r="F384" s="80"/>
      <c r="G384" s="81"/>
      <c r="H384" s="81"/>
      <c r="I384" s="81"/>
      <c r="J384" s="81"/>
      <c r="K384" s="81"/>
      <c r="L384" s="73"/>
      <c r="M384" s="81"/>
      <c r="N384" s="73"/>
      <c r="O384" s="92"/>
      <c r="P384" s="81"/>
      <c r="Q384" s="83"/>
      <c r="R384" s="87"/>
      <c r="S384" s="87"/>
      <c r="T384" s="87"/>
      <c r="U384" s="87"/>
      <c r="V384" s="87"/>
      <c r="W384" s="87"/>
      <c r="X384" s="459" t="s">
        <v>314</v>
      </c>
      <c r="Y384" s="452" t="s">
        <v>63</v>
      </c>
      <c r="Z384" s="453" t="s">
        <v>16</v>
      </c>
      <c r="AA384" s="453" t="s">
        <v>29</v>
      </c>
      <c r="AB384" s="542" t="s">
        <v>315</v>
      </c>
      <c r="AC384" s="482"/>
      <c r="AD384" s="672">
        <f t="shared" ref="AD384:AF384" si="108">AD385</f>
        <v>30548.6</v>
      </c>
      <c r="AE384" s="634">
        <f t="shared" si="108"/>
        <v>29355.8</v>
      </c>
      <c r="AF384" s="645">
        <f t="shared" si="108"/>
        <v>29511.7</v>
      </c>
      <c r="AG384" s="180"/>
      <c r="AH384" s="180"/>
      <c r="AI384" s="147"/>
    </row>
    <row r="385" spans="1:35" s="103" customFormat="1" ht="31.5" x14ac:dyDescent="0.25">
      <c r="A385" s="47"/>
      <c r="B385" s="78"/>
      <c r="C385" s="79"/>
      <c r="D385" s="79"/>
      <c r="E385" s="80"/>
      <c r="F385" s="80"/>
      <c r="G385" s="81"/>
      <c r="H385" s="81"/>
      <c r="I385" s="81"/>
      <c r="J385" s="81"/>
      <c r="K385" s="81"/>
      <c r="L385" s="73"/>
      <c r="M385" s="81"/>
      <c r="N385" s="73"/>
      <c r="O385" s="92"/>
      <c r="P385" s="81"/>
      <c r="Q385" s="83"/>
      <c r="R385" s="87"/>
      <c r="S385" s="87"/>
      <c r="T385" s="87"/>
      <c r="U385" s="87"/>
      <c r="V385" s="87"/>
      <c r="W385" s="87"/>
      <c r="X385" s="665" t="s">
        <v>252</v>
      </c>
      <c r="Y385" s="452" t="s">
        <v>63</v>
      </c>
      <c r="Z385" s="453" t="s">
        <v>16</v>
      </c>
      <c r="AA385" s="453" t="s">
        <v>29</v>
      </c>
      <c r="AB385" s="542" t="s">
        <v>253</v>
      </c>
      <c r="AC385" s="482"/>
      <c r="AD385" s="672">
        <f t="shared" ref="AD385:AF386" si="109">AD386</f>
        <v>30548.6</v>
      </c>
      <c r="AE385" s="634">
        <f t="shared" si="109"/>
        <v>29355.8</v>
      </c>
      <c r="AF385" s="645">
        <f t="shared" si="109"/>
        <v>29511.7</v>
      </c>
      <c r="AG385" s="180"/>
      <c r="AH385" s="180"/>
      <c r="AI385" s="147"/>
    </row>
    <row r="386" spans="1:35" s="103" customFormat="1" ht="31.5" x14ac:dyDescent="0.25">
      <c r="A386" s="47"/>
      <c r="B386" s="78"/>
      <c r="C386" s="79"/>
      <c r="D386" s="79"/>
      <c r="E386" s="80"/>
      <c r="F386" s="80"/>
      <c r="G386" s="81"/>
      <c r="H386" s="81"/>
      <c r="I386" s="81"/>
      <c r="J386" s="81"/>
      <c r="K386" s="81"/>
      <c r="L386" s="73"/>
      <c r="M386" s="81"/>
      <c r="N386" s="73"/>
      <c r="O386" s="92"/>
      <c r="P386" s="81"/>
      <c r="Q386" s="83"/>
      <c r="R386" s="87"/>
      <c r="S386" s="87"/>
      <c r="T386" s="87"/>
      <c r="U386" s="87"/>
      <c r="V386" s="87"/>
      <c r="W386" s="87"/>
      <c r="X386" s="451" t="s">
        <v>60</v>
      </c>
      <c r="Y386" s="452" t="s">
        <v>63</v>
      </c>
      <c r="Z386" s="453" t="s">
        <v>16</v>
      </c>
      <c r="AA386" s="453" t="s">
        <v>29</v>
      </c>
      <c r="AB386" s="542" t="s">
        <v>253</v>
      </c>
      <c r="AC386" s="454">
        <v>600</v>
      </c>
      <c r="AD386" s="672">
        <f t="shared" si="109"/>
        <v>30548.6</v>
      </c>
      <c r="AE386" s="634">
        <f t="shared" si="109"/>
        <v>29355.8</v>
      </c>
      <c r="AF386" s="645">
        <f t="shared" si="109"/>
        <v>29511.7</v>
      </c>
      <c r="AG386" s="180"/>
      <c r="AH386" s="180"/>
      <c r="AI386" s="147"/>
    </row>
    <row r="387" spans="1:35" s="103" customFormat="1" x14ac:dyDescent="0.25">
      <c r="A387" s="47"/>
      <c r="B387" s="78"/>
      <c r="C387" s="79"/>
      <c r="D387" s="79"/>
      <c r="E387" s="80"/>
      <c r="F387" s="80"/>
      <c r="G387" s="81"/>
      <c r="H387" s="81"/>
      <c r="I387" s="81"/>
      <c r="J387" s="81"/>
      <c r="K387" s="81"/>
      <c r="L387" s="73"/>
      <c r="M387" s="81"/>
      <c r="N387" s="73"/>
      <c r="O387" s="92"/>
      <c r="P387" s="81"/>
      <c r="Q387" s="83"/>
      <c r="R387" s="87"/>
      <c r="S387" s="87"/>
      <c r="T387" s="87"/>
      <c r="U387" s="87"/>
      <c r="V387" s="87"/>
      <c r="W387" s="87"/>
      <c r="X387" s="451" t="s">
        <v>61</v>
      </c>
      <c r="Y387" s="452" t="s">
        <v>63</v>
      </c>
      <c r="Z387" s="453" t="s">
        <v>16</v>
      </c>
      <c r="AA387" s="453" t="s">
        <v>29</v>
      </c>
      <c r="AB387" s="542" t="s">
        <v>253</v>
      </c>
      <c r="AC387" s="454">
        <v>610</v>
      </c>
      <c r="AD387" s="674">
        <v>30548.6</v>
      </c>
      <c r="AE387" s="636">
        <v>29355.8</v>
      </c>
      <c r="AF387" s="646">
        <v>29511.7</v>
      </c>
      <c r="AG387" s="206"/>
      <c r="AH387" s="206"/>
      <c r="AI387" s="147"/>
    </row>
    <row r="388" spans="1:35" s="500" customFormat="1" ht="35.25" customHeight="1" x14ac:dyDescent="0.25">
      <c r="A388" s="491"/>
      <c r="B388" s="493"/>
      <c r="C388" s="494"/>
      <c r="D388" s="494"/>
      <c r="E388" s="495"/>
      <c r="F388" s="495"/>
      <c r="G388" s="496"/>
      <c r="H388" s="496"/>
      <c r="I388" s="496"/>
      <c r="J388" s="496"/>
      <c r="K388" s="496"/>
      <c r="L388" s="492"/>
      <c r="M388" s="496"/>
      <c r="N388" s="492"/>
      <c r="O388" s="499"/>
      <c r="P388" s="496"/>
      <c r="Q388" s="497"/>
      <c r="R388" s="498"/>
      <c r="S388" s="498"/>
      <c r="T388" s="498"/>
      <c r="U388" s="498"/>
      <c r="V388" s="498"/>
      <c r="W388" s="498"/>
      <c r="X388" s="451" t="s">
        <v>803</v>
      </c>
      <c r="Y388" s="452" t="s">
        <v>63</v>
      </c>
      <c r="Z388" s="453" t="s">
        <v>16</v>
      </c>
      <c r="AA388" s="453" t="s">
        <v>29</v>
      </c>
      <c r="AB388" s="542" t="s">
        <v>806</v>
      </c>
      <c r="AC388" s="477"/>
      <c r="AD388" s="674">
        <f>AD389</f>
        <v>3270</v>
      </c>
      <c r="AE388" s="674">
        <f t="shared" ref="AE388:AF390" si="110">AE389</f>
        <v>0</v>
      </c>
      <c r="AF388" s="674">
        <f t="shared" si="110"/>
        <v>0</v>
      </c>
      <c r="AG388" s="206"/>
      <c r="AH388" s="206"/>
      <c r="AI388" s="502"/>
    </row>
    <row r="389" spans="1:35" s="500" customFormat="1" x14ac:dyDescent="0.25">
      <c r="A389" s="491"/>
      <c r="B389" s="493"/>
      <c r="C389" s="494"/>
      <c r="D389" s="494"/>
      <c r="E389" s="495"/>
      <c r="F389" s="495"/>
      <c r="G389" s="496"/>
      <c r="H389" s="496"/>
      <c r="I389" s="496"/>
      <c r="J389" s="496"/>
      <c r="K389" s="496"/>
      <c r="L389" s="492"/>
      <c r="M389" s="496"/>
      <c r="N389" s="492"/>
      <c r="O389" s="499"/>
      <c r="P389" s="496"/>
      <c r="Q389" s="497"/>
      <c r="R389" s="498"/>
      <c r="S389" s="498"/>
      <c r="T389" s="498"/>
      <c r="U389" s="498"/>
      <c r="V389" s="498"/>
      <c r="W389" s="498"/>
      <c r="X389" s="451" t="s">
        <v>804</v>
      </c>
      <c r="Y389" s="452" t="s">
        <v>63</v>
      </c>
      <c r="Z389" s="453" t="s">
        <v>16</v>
      </c>
      <c r="AA389" s="453" t="s">
        <v>29</v>
      </c>
      <c r="AB389" s="542" t="s">
        <v>805</v>
      </c>
      <c r="AC389" s="709"/>
      <c r="AD389" s="674">
        <f>AD390</f>
        <v>3270</v>
      </c>
      <c r="AE389" s="674">
        <f t="shared" si="110"/>
        <v>0</v>
      </c>
      <c r="AF389" s="674">
        <f t="shared" si="110"/>
        <v>0</v>
      </c>
      <c r="AG389" s="206"/>
      <c r="AH389" s="206"/>
      <c r="AI389" s="502"/>
    </row>
    <row r="390" spans="1:35" s="500" customFormat="1" ht="31.5" x14ac:dyDescent="0.25">
      <c r="A390" s="491"/>
      <c r="B390" s="493"/>
      <c r="C390" s="494"/>
      <c r="D390" s="494"/>
      <c r="E390" s="495"/>
      <c r="F390" s="495"/>
      <c r="G390" s="496"/>
      <c r="H390" s="496"/>
      <c r="I390" s="496"/>
      <c r="J390" s="496"/>
      <c r="K390" s="496"/>
      <c r="L390" s="492"/>
      <c r="M390" s="496"/>
      <c r="N390" s="492"/>
      <c r="O390" s="499"/>
      <c r="P390" s="496"/>
      <c r="Q390" s="497"/>
      <c r="R390" s="498"/>
      <c r="S390" s="498"/>
      <c r="T390" s="498"/>
      <c r="U390" s="498"/>
      <c r="V390" s="498"/>
      <c r="W390" s="498"/>
      <c r="X390" s="451" t="s">
        <v>60</v>
      </c>
      <c r="Y390" s="452" t="s">
        <v>63</v>
      </c>
      <c r="Z390" s="453" t="s">
        <v>16</v>
      </c>
      <c r="AA390" s="453" t="s">
        <v>29</v>
      </c>
      <c r="AB390" s="542" t="s">
        <v>805</v>
      </c>
      <c r="AC390" s="453">
        <v>600</v>
      </c>
      <c r="AD390" s="674">
        <f>AD391</f>
        <v>3270</v>
      </c>
      <c r="AE390" s="674">
        <f t="shared" si="110"/>
        <v>0</v>
      </c>
      <c r="AF390" s="674">
        <f t="shared" si="110"/>
        <v>0</v>
      </c>
      <c r="AG390" s="206"/>
      <c r="AH390" s="206"/>
      <c r="AI390" s="502"/>
    </row>
    <row r="391" spans="1:35" s="500" customFormat="1" x14ac:dyDescent="0.25">
      <c r="A391" s="491"/>
      <c r="B391" s="493"/>
      <c r="C391" s="494"/>
      <c r="D391" s="494"/>
      <c r="E391" s="495"/>
      <c r="F391" s="495"/>
      <c r="G391" s="496"/>
      <c r="H391" s="496"/>
      <c r="I391" s="496"/>
      <c r="J391" s="496"/>
      <c r="K391" s="496"/>
      <c r="L391" s="492"/>
      <c r="M391" s="496"/>
      <c r="N391" s="492"/>
      <c r="O391" s="499"/>
      <c r="P391" s="496"/>
      <c r="Q391" s="497"/>
      <c r="R391" s="498"/>
      <c r="S391" s="498"/>
      <c r="T391" s="498"/>
      <c r="U391" s="498"/>
      <c r="V391" s="498"/>
      <c r="W391" s="498"/>
      <c r="X391" s="451" t="s">
        <v>61</v>
      </c>
      <c r="Y391" s="452" t="s">
        <v>63</v>
      </c>
      <c r="Z391" s="453" t="s">
        <v>16</v>
      </c>
      <c r="AA391" s="453" t="s">
        <v>29</v>
      </c>
      <c r="AB391" s="542" t="s">
        <v>805</v>
      </c>
      <c r="AC391" s="453">
        <v>610</v>
      </c>
      <c r="AD391" s="674">
        <v>3270</v>
      </c>
      <c r="AE391" s="636">
        <v>0</v>
      </c>
      <c r="AF391" s="646">
        <v>0</v>
      </c>
      <c r="AG391" s="206"/>
      <c r="AH391" s="206"/>
      <c r="AI391" s="502"/>
    </row>
    <row r="392" spans="1:35" s="103" customFormat="1" x14ac:dyDescent="0.25">
      <c r="A392" s="47"/>
      <c r="B392" s="78"/>
      <c r="C392" s="79"/>
      <c r="D392" s="79"/>
      <c r="E392" s="80"/>
      <c r="F392" s="80"/>
      <c r="G392" s="81"/>
      <c r="H392" s="81"/>
      <c r="I392" s="81"/>
      <c r="J392" s="81"/>
      <c r="K392" s="81"/>
      <c r="L392" s="73"/>
      <c r="M392" s="81"/>
      <c r="N392" s="73"/>
      <c r="O392" s="92"/>
      <c r="P392" s="81"/>
      <c r="Q392" s="83"/>
      <c r="R392" s="87"/>
      <c r="S392" s="87"/>
      <c r="T392" s="87"/>
      <c r="U392" s="87"/>
      <c r="V392" s="87"/>
      <c r="W392" s="87"/>
      <c r="X392" s="459" t="s">
        <v>491</v>
      </c>
      <c r="Y392" s="452" t="s">
        <v>63</v>
      </c>
      <c r="Z392" s="453" t="s">
        <v>16</v>
      </c>
      <c r="AA392" s="453" t="s">
        <v>29</v>
      </c>
      <c r="AB392" s="542" t="s">
        <v>140</v>
      </c>
      <c r="AC392" s="572"/>
      <c r="AD392" s="674">
        <f>AD393</f>
        <v>38268.299999999996</v>
      </c>
      <c r="AE392" s="636">
        <f t="shared" ref="AE392:AF392" si="111">AE393</f>
        <v>37183.199999999997</v>
      </c>
      <c r="AF392" s="646">
        <f t="shared" si="111"/>
        <v>37369.700000000004</v>
      </c>
      <c r="AG392" s="206"/>
      <c r="AH392" s="206"/>
      <c r="AI392" s="147"/>
    </row>
    <row r="393" spans="1:35" s="103" customFormat="1" ht="31.5" x14ac:dyDescent="0.25">
      <c r="A393" s="47"/>
      <c r="B393" s="78"/>
      <c r="C393" s="79"/>
      <c r="D393" s="79"/>
      <c r="E393" s="80"/>
      <c r="F393" s="80"/>
      <c r="G393" s="81"/>
      <c r="H393" s="81"/>
      <c r="I393" s="81"/>
      <c r="J393" s="81"/>
      <c r="K393" s="81"/>
      <c r="L393" s="73"/>
      <c r="M393" s="81"/>
      <c r="N393" s="73"/>
      <c r="O393" s="92"/>
      <c r="P393" s="81"/>
      <c r="Q393" s="83"/>
      <c r="R393" s="87"/>
      <c r="S393" s="87"/>
      <c r="T393" s="87"/>
      <c r="U393" s="87"/>
      <c r="V393" s="87"/>
      <c r="W393" s="87"/>
      <c r="X393" s="459" t="s">
        <v>254</v>
      </c>
      <c r="Y393" s="452" t="s">
        <v>63</v>
      </c>
      <c r="Z393" s="453" t="s">
        <v>16</v>
      </c>
      <c r="AA393" s="453" t="s">
        <v>29</v>
      </c>
      <c r="AB393" s="542" t="s">
        <v>141</v>
      </c>
      <c r="AC393" s="454"/>
      <c r="AD393" s="672">
        <f>AD394+AD397+AD400</f>
        <v>38268.299999999996</v>
      </c>
      <c r="AE393" s="634">
        <f>AE394+AE397+AE400</f>
        <v>37183.199999999997</v>
      </c>
      <c r="AF393" s="645">
        <f>AF394+AF397+AF400</f>
        <v>37369.700000000004</v>
      </c>
      <c r="AG393" s="180"/>
      <c r="AH393" s="180"/>
      <c r="AI393" s="147"/>
    </row>
    <row r="394" spans="1:35" s="103" customFormat="1" ht="31.5" x14ac:dyDescent="0.25">
      <c r="A394" s="47"/>
      <c r="B394" s="78"/>
      <c r="C394" s="79"/>
      <c r="D394" s="79"/>
      <c r="E394" s="80"/>
      <c r="F394" s="80"/>
      <c r="G394" s="81"/>
      <c r="H394" s="81"/>
      <c r="I394" s="81"/>
      <c r="J394" s="81"/>
      <c r="K394" s="81"/>
      <c r="L394" s="73"/>
      <c r="M394" s="81"/>
      <c r="N394" s="73"/>
      <c r="O394" s="92"/>
      <c r="P394" s="81"/>
      <c r="Q394" s="83"/>
      <c r="R394" s="87"/>
      <c r="S394" s="87"/>
      <c r="T394" s="87"/>
      <c r="U394" s="87"/>
      <c r="V394" s="87"/>
      <c r="W394" s="87"/>
      <c r="X394" s="665" t="s">
        <v>751</v>
      </c>
      <c r="Y394" s="452" t="s">
        <v>63</v>
      </c>
      <c r="Z394" s="453" t="s">
        <v>16</v>
      </c>
      <c r="AA394" s="453" t="s">
        <v>29</v>
      </c>
      <c r="AB394" s="542" t="s">
        <v>255</v>
      </c>
      <c r="AC394" s="454"/>
      <c r="AD394" s="672">
        <f t="shared" ref="AD394:AF395" si="112">AD395</f>
        <v>1000</v>
      </c>
      <c r="AE394" s="634">
        <f t="shared" si="112"/>
        <v>1000</v>
      </c>
      <c r="AF394" s="645">
        <f t="shared" si="112"/>
        <v>1000</v>
      </c>
      <c r="AG394" s="180"/>
      <c r="AH394" s="180"/>
      <c r="AI394" s="147"/>
    </row>
    <row r="395" spans="1:35" s="103" customFormat="1" ht="31.5" x14ac:dyDescent="0.25">
      <c r="A395" s="47"/>
      <c r="B395" s="78"/>
      <c r="C395" s="79"/>
      <c r="D395" s="79"/>
      <c r="E395" s="80"/>
      <c r="F395" s="80"/>
      <c r="G395" s="81"/>
      <c r="H395" s="81"/>
      <c r="I395" s="81"/>
      <c r="J395" s="81"/>
      <c r="K395" s="81"/>
      <c r="L395" s="73"/>
      <c r="M395" s="81"/>
      <c r="N395" s="73"/>
      <c r="O395" s="92"/>
      <c r="P395" s="81"/>
      <c r="Q395" s="83"/>
      <c r="R395" s="87"/>
      <c r="S395" s="87"/>
      <c r="T395" s="87"/>
      <c r="U395" s="87"/>
      <c r="V395" s="87"/>
      <c r="W395" s="87"/>
      <c r="X395" s="451" t="s">
        <v>60</v>
      </c>
      <c r="Y395" s="452" t="s">
        <v>63</v>
      </c>
      <c r="Z395" s="453" t="s">
        <v>16</v>
      </c>
      <c r="AA395" s="453" t="s">
        <v>29</v>
      </c>
      <c r="AB395" s="542" t="s">
        <v>255</v>
      </c>
      <c r="AC395" s="454">
        <v>600</v>
      </c>
      <c r="AD395" s="672">
        <f t="shared" si="112"/>
        <v>1000</v>
      </c>
      <c r="AE395" s="634">
        <f t="shared" si="112"/>
        <v>1000</v>
      </c>
      <c r="AF395" s="645">
        <f t="shared" si="112"/>
        <v>1000</v>
      </c>
      <c r="AG395" s="180"/>
      <c r="AH395" s="180"/>
      <c r="AI395" s="147"/>
    </row>
    <row r="396" spans="1:35" s="103" customFormat="1" x14ac:dyDescent="0.25">
      <c r="A396" s="47"/>
      <c r="B396" s="78"/>
      <c r="C396" s="79"/>
      <c r="D396" s="79"/>
      <c r="E396" s="80"/>
      <c r="F396" s="80"/>
      <c r="G396" s="81"/>
      <c r="H396" s="81"/>
      <c r="I396" s="81"/>
      <c r="J396" s="81"/>
      <c r="K396" s="81"/>
      <c r="L396" s="73"/>
      <c r="M396" s="81"/>
      <c r="N396" s="73"/>
      <c r="O396" s="92"/>
      <c r="P396" s="81"/>
      <c r="Q396" s="83"/>
      <c r="R396" s="87"/>
      <c r="S396" s="87"/>
      <c r="T396" s="87"/>
      <c r="U396" s="87"/>
      <c r="V396" s="87"/>
      <c r="W396" s="87"/>
      <c r="X396" s="451" t="s">
        <v>61</v>
      </c>
      <c r="Y396" s="452" t="s">
        <v>63</v>
      </c>
      <c r="Z396" s="453" t="s">
        <v>16</v>
      </c>
      <c r="AA396" s="453" t="s">
        <v>29</v>
      </c>
      <c r="AB396" s="542" t="s">
        <v>255</v>
      </c>
      <c r="AC396" s="454">
        <v>610</v>
      </c>
      <c r="AD396" s="672">
        <v>1000</v>
      </c>
      <c r="AE396" s="634">
        <v>1000</v>
      </c>
      <c r="AF396" s="645">
        <v>1000</v>
      </c>
      <c r="AG396" s="180"/>
      <c r="AH396" s="180"/>
      <c r="AI396" s="147"/>
    </row>
    <row r="397" spans="1:35" s="103" customFormat="1" ht="31.5" x14ac:dyDescent="0.25">
      <c r="A397" s="47"/>
      <c r="B397" s="78"/>
      <c r="C397" s="79"/>
      <c r="D397" s="79"/>
      <c r="E397" s="80"/>
      <c r="F397" s="80"/>
      <c r="G397" s="81"/>
      <c r="H397" s="81"/>
      <c r="I397" s="81"/>
      <c r="J397" s="81"/>
      <c r="K397" s="81"/>
      <c r="L397" s="73"/>
      <c r="M397" s="81"/>
      <c r="N397" s="73"/>
      <c r="O397" s="92"/>
      <c r="P397" s="81"/>
      <c r="Q397" s="83"/>
      <c r="R397" s="87"/>
      <c r="S397" s="87"/>
      <c r="T397" s="87"/>
      <c r="U397" s="87"/>
      <c r="V397" s="87"/>
      <c r="W397" s="87"/>
      <c r="X397" s="451" t="s">
        <v>256</v>
      </c>
      <c r="Y397" s="452" t="s">
        <v>63</v>
      </c>
      <c r="Z397" s="453" t="s">
        <v>16</v>
      </c>
      <c r="AA397" s="453" t="s">
        <v>29</v>
      </c>
      <c r="AB397" s="542" t="s">
        <v>257</v>
      </c>
      <c r="AC397" s="454"/>
      <c r="AD397" s="672">
        <f t="shared" ref="AD397:AF398" si="113">AD398</f>
        <v>36893.599999999999</v>
      </c>
      <c r="AE397" s="634">
        <f t="shared" si="113"/>
        <v>35800.5</v>
      </c>
      <c r="AF397" s="645">
        <f t="shared" si="113"/>
        <v>35991.4</v>
      </c>
      <c r="AG397" s="180"/>
      <c r="AH397" s="180"/>
      <c r="AI397" s="147"/>
    </row>
    <row r="398" spans="1:35" s="103" customFormat="1" ht="31.5" x14ac:dyDescent="0.25">
      <c r="A398" s="47"/>
      <c r="B398" s="78"/>
      <c r="C398" s="79"/>
      <c r="D398" s="79"/>
      <c r="E398" s="80"/>
      <c r="F398" s="80"/>
      <c r="G398" s="81"/>
      <c r="H398" s="81"/>
      <c r="I398" s="81"/>
      <c r="J398" s="81"/>
      <c r="K398" s="81"/>
      <c r="L398" s="73"/>
      <c r="M398" s="81"/>
      <c r="N398" s="73"/>
      <c r="O398" s="92"/>
      <c r="P398" s="81"/>
      <c r="Q398" s="83"/>
      <c r="R398" s="87"/>
      <c r="S398" s="87"/>
      <c r="T398" s="87"/>
      <c r="U398" s="87"/>
      <c r="V398" s="87"/>
      <c r="W398" s="87"/>
      <c r="X398" s="451" t="s">
        <v>60</v>
      </c>
      <c r="Y398" s="452" t="s">
        <v>63</v>
      </c>
      <c r="Z398" s="453" t="s">
        <v>16</v>
      </c>
      <c r="AA398" s="453" t="s">
        <v>29</v>
      </c>
      <c r="AB398" s="542" t="s">
        <v>257</v>
      </c>
      <c r="AC398" s="454">
        <v>600</v>
      </c>
      <c r="AD398" s="672">
        <f t="shared" si="113"/>
        <v>36893.599999999999</v>
      </c>
      <c r="AE398" s="634">
        <f t="shared" si="113"/>
        <v>35800.5</v>
      </c>
      <c r="AF398" s="645">
        <f t="shared" si="113"/>
        <v>35991.4</v>
      </c>
      <c r="AG398" s="180"/>
      <c r="AH398" s="180"/>
      <c r="AI398" s="147"/>
    </row>
    <row r="399" spans="1:35" s="103" customFormat="1" x14ac:dyDescent="0.25">
      <c r="A399" s="47"/>
      <c r="B399" s="78"/>
      <c r="C399" s="79"/>
      <c r="D399" s="79"/>
      <c r="E399" s="80"/>
      <c r="F399" s="80"/>
      <c r="G399" s="81"/>
      <c r="H399" s="81"/>
      <c r="I399" s="81"/>
      <c r="J399" s="81"/>
      <c r="K399" s="81"/>
      <c r="L399" s="73"/>
      <c r="M399" s="81"/>
      <c r="N399" s="73"/>
      <c r="O399" s="92"/>
      <c r="P399" s="81"/>
      <c r="Q399" s="83"/>
      <c r="R399" s="87"/>
      <c r="S399" s="87"/>
      <c r="T399" s="87"/>
      <c r="U399" s="87"/>
      <c r="V399" s="87"/>
      <c r="W399" s="87"/>
      <c r="X399" s="451" t="s">
        <v>61</v>
      </c>
      <c r="Y399" s="452" t="s">
        <v>63</v>
      </c>
      <c r="Z399" s="453" t="s">
        <v>16</v>
      </c>
      <c r="AA399" s="453" t="s">
        <v>29</v>
      </c>
      <c r="AB399" s="542" t="s">
        <v>257</v>
      </c>
      <c r="AC399" s="454">
        <v>610</v>
      </c>
      <c r="AD399" s="673">
        <v>36893.599999999999</v>
      </c>
      <c r="AE399" s="634">
        <v>35800.5</v>
      </c>
      <c r="AF399" s="645">
        <v>35991.4</v>
      </c>
      <c r="AG399" s="180"/>
      <c r="AH399" s="180"/>
      <c r="AI399" s="147"/>
    </row>
    <row r="400" spans="1:35" s="103" customFormat="1" ht="31.5" x14ac:dyDescent="0.25">
      <c r="A400" s="47"/>
      <c r="B400" s="78"/>
      <c r="C400" s="79"/>
      <c r="D400" s="79"/>
      <c r="E400" s="80"/>
      <c r="F400" s="80"/>
      <c r="G400" s="81"/>
      <c r="H400" s="81"/>
      <c r="I400" s="81"/>
      <c r="J400" s="81"/>
      <c r="K400" s="81"/>
      <c r="L400" s="73"/>
      <c r="M400" s="81"/>
      <c r="N400" s="73"/>
      <c r="O400" s="92"/>
      <c r="P400" s="81"/>
      <c r="Q400" s="83"/>
      <c r="R400" s="87"/>
      <c r="S400" s="87"/>
      <c r="T400" s="87"/>
      <c r="U400" s="87"/>
      <c r="V400" s="87"/>
      <c r="W400" s="87"/>
      <c r="X400" s="654" t="s">
        <v>501</v>
      </c>
      <c r="Y400" s="452" t="s">
        <v>63</v>
      </c>
      <c r="Z400" s="453" t="s">
        <v>16</v>
      </c>
      <c r="AA400" s="453" t="s">
        <v>29</v>
      </c>
      <c r="AB400" s="542" t="s">
        <v>399</v>
      </c>
      <c r="AC400" s="454"/>
      <c r="AD400" s="672">
        <f t="shared" ref="AD400:AF401" si="114">AD401</f>
        <v>374.70000000000005</v>
      </c>
      <c r="AE400" s="634">
        <f t="shared" si="114"/>
        <v>382.7</v>
      </c>
      <c r="AF400" s="645">
        <f t="shared" si="114"/>
        <v>378.3</v>
      </c>
      <c r="AG400" s="180"/>
      <c r="AH400" s="180"/>
      <c r="AI400" s="147"/>
    </row>
    <row r="401" spans="1:35" s="103" customFormat="1" ht="31.5" x14ac:dyDescent="0.25">
      <c r="A401" s="47"/>
      <c r="B401" s="78"/>
      <c r="C401" s="79"/>
      <c r="D401" s="79"/>
      <c r="E401" s="80"/>
      <c r="F401" s="80"/>
      <c r="G401" s="81"/>
      <c r="H401" s="81"/>
      <c r="I401" s="81"/>
      <c r="J401" s="81"/>
      <c r="K401" s="81"/>
      <c r="L401" s="73"/>
      <c r="M401" s="81"/>
      <c r="N401" s="73"/>
      <c r="O401" s="92"/>
      <c r="P401" s="81"/>
      <c r="Q401" s="83"/>
      <c r="R401" s="87"/>
      <c r="S401" s="87"/>
      <c r="T401" s="87"/>
      <c r="U401" s="87"/>
      <c r="V401" s="87"/>
      <c r="W401" s="87"/>
      <c r="X401" s="654" t="s">
        <v>60</v>
      </c>
      <c r="Y401" s="452" t="s">
        <v>63</v>
      </c>
      <c r="Z401" s="453" t="s">
        <v>16</v>
      </c>
      <c r="AA401" s="453" t="s">
        <v>29</v>
      </c>
      <c r="AB401" s="542" t="s">
        <v>399</v>
      </c>
      <c r="AC401" s="454">
        <v>600</v>
      </c>
      <c r="AD401" s="672">
        <f t="shared" si="114"/>
        <v>374.70000000000005</v>
      </c>
      <c r="AE401" s="634">
        <f t="shared" si="114"/>
        <v>382.7</v>
      </c>
      <c r="AF401" s="645">
        <f t="shared" si="114"/>
        <v>378.3</v>
      </c>
      <c r="AG401" s="180"/>
      <c r="AH401" s="180"/>
      <c r="AI401" s="147"/>
    </row>
    <row r="402" spans="1:35" s="103" customFormat="1" x14ac:dyDescent="0.25">
      <c r="A402" s="47"/>
      <c r="B402" s="78"/>
      <c r="C402" s="79"/>
      <c r="D402" s="79"/>
      <c r="E402" s="80"/>
      <c r="F402" s="80"/>
      <c r="G402" s="81"/>
      <c r="H402" s="81"/>
      <c r="I402" s="81"/>
      <c r="J402" s="81"/>
      <c r="K402" s="81"/>
      <c r="L402" s="73"/>
      <c r="M402" s="81"/>
      <c r="N402" s="73"/>
      <c r="O402" s="92"/>
      <c r="P402" s="81"/>
      <c r="Q402" s="83"/>
      <c r="R402" s="87"/>
      <c r="S402" s="87"/>
      <c r="T402" s="87"/>
      <c r="U402" s="87"/>
      <c r="V402" s="87"/>
      <c r="W402" s="87"/>
      <c r="X402" s="654" t="s">
        <v>61</v>
      </c>
      <c r="Y402" s="452" t="s">
        <v>63</v>
      </c>
      <c r="Z402" s="453" t="s">
        <v>16</v>
      </c>
      <c r="AA402" s="453" t="s">
        <v>29</v>
      </c>
      <c r="AB402" s="542" t="s">
        <v>399</v>
      </c>
      <c r="AC402" s="454">
        <v>610</v>
      </c>
      <c r="AD402" s="672">
        <f>307.6+67.1</f>
        <v>374.70000000000005</v>
      </c>
      <c r="AE402" s="635">
        <f>314.2+68.5</f>
        <v>382.7</v>
      </c>
      <c r="AF402" s="645">
        <f>310.6+67.7</f>
        <v>378.3</v>
      </c>
      <c r="AG402" s="180"/>
      <c r="AH402" s="180"/>
      <c r="AI402" s="147"/>
    </row>
    <row r="403" spans="1:35" s="103" customFormat="1" ht="31.5" x14ac:dyDescent="0.25">
      <c r="A403" s="47"/>
      <c r="B403" s="78"/>
      <c r="C403" s="79"/>
      <c r="D403" s="79"/>
      <c r="E403" s="80"/>
      <c r="F403" s="80"/>
      <c r="G403" s="81"/>
      <c r="H403" s="81"/>
      <c r="I403" s="81"/>
      <c r="J403" s="81"/>
      <c r="K403" s="81"/>
      <c r="L403" s="73"/>
      <c r="M403" s="81"/>
      <c r="N403" s="73"/>
      <c r="O403" s="92"/>
      <c r="P403" s="81"/>
      <c r="Q403" s="83"/>
      <c r="R403" s="87"/>
      <c r="S403" s="87"/>
      <c r="T403" s="87"/>
      <c r="U403" s="87"/>
      <c r="V403" s="87"/>
      <c r="W403" s="87"/>
      <c r="X403" s="459" t="s">
        <v>492</v>
      </c>
      <c r="Y403" s="452" t="s">
        <v>63</v>
      </c>
      <c r="Z403" s="453" t="s">
        <v>16</v>
      </c>
      <c r="AA403" s="453" t="s">
        <v>29</v>
      </c>
      <c r="AB403" s="542" t="s">
        <v>258</v>
      </c>
      <c r="AC403" s="454"/>
      <c r="AD403" s="672">
        <f>AD404+AD425+AD421</f>
        <v>114220.9</v>
      </c>
      <c r="AE403" s="672">
        <f t="shared" ref="AE403:AF403" si="115">AE404+AE425+AE421</f>
        <v>80085</v>
      </c>
      <c r="AF403" s="672">
        <f t="shared" si="115"/>
        <v>64032.5</v>
      </c>
      <c r="AG403" s="180"/>
      <c r="AH403" s="180"/>
      <c r="AI403" s="147"/>
    </row>
    <row r="404" spans="1:35" s="103" customFormat="1" x14ac:dyDescent="0.25">
      <c r="A404" s="47"/>
      <c r="B404" s="78"/>
      <c r="C404" s="79"/>
      <c r="D404" s="79"/>
      <c r="E404" s="80"/>
      <c r="F404" s="80"/>
      <c r="G404" s="81"/>
      <c r="H404" s="81"/>
      <c r="I404" s="81"/>
      <c r="J404" s="81"/>
      <c r="K404" s="81"/>
      <c r="L404" s="73"/>
      <c r="M404" s="81"/>
      <c r="N404" s="73"/>
      <c r="O404" s="92"/>
      <c r="P404" s="81"/>
      <c r="Q404" s="83"/>
      <c r="R404" s="87"/>
      <c r="S404" s="87"/>
      <c r="T404" s="87"/>
      <c r="U404" s="87"/>
      <c r="V404" s="87"/>
      <c r="W404" s="87"/>
      <c r="X404" s="459" t="s">
        <v>353</v>
      </c>
      <c r="Y404" s="452" t="s">
        <v>63</v>
      </c>
      <c r="Z404" s="453" t="s">
        <v>16</v>
      </c>
      <c r="AA404" s="453" t="s">
        <v>29</v>
      </c>
      <c r="AB404" s="542" t="s">
        <v>493</v>
      </c>
      <c r="AC404" s="454"/>
      <c r="AD404" s="672">
        <f>AD414+AD405</f>
        <v>106780.4</v>
      </c>
      <c r="AE404" s="634">
        <f>AE414+AE405</f>
        <v>79739.5</v>
      </c>
      <c r="AF404" s="645">
        <f>AF414+AF405</f>
        <v>64032.5</v>
      </c>
      <c r="AG404" s="180"/>
      <c r="AH404" s="180"/>
      <c r="AI404" s="147"/>
    </row>
    <row r="405" spans="1:35" s="103" customFormat="1" x14ac:dyDescent="0.25">
      <c r="A405" s="47"/>
      <c r="B405" s="78"/>
      <c r="C405" s="79"/>
      <c r="D405" s="79"/>
      <c r="E405" s="80"/>
      <c r="F405" s="80"/>
      <c r="G405" s="81"/>
      <c r="H405" s="81"/>
      <c r="I405" s="81"/>
      <c r="J405" s="81"/>
      <c r="K405" s="81"/>
      <c r="L405" s="73"/>
      <c r="M405" s="81"/>
      <c r="N405" s="73"/>
      <c r="O405" s="92"/>
      <c r="P405" s="81"/>
      <c r="Q405" s="83"/>
      <c r="R405" s="87"/>
      <c r="S405" s="87"/>
      <c r="T405" s="87"/>
      <c r="U405" s="87"/>
      <c r="V405" s="87"/>
      <c r="W405" s="87"/>
      <c r="X405" s="665" t="s">
        <v>259</v>
      </c>
      <c r="Y405" s="452" t="s">
        <v>63</v>
      </c>
      <c r="Z405" s="453" t="s">
        <v>16</v>
      </c>
      <c r="AA405" s="453" t="s">
        <v>29</v>
      </c>
      <c r="AB405" s="542" t="s">
        <v>552</v>
      </c>
      <c r="AC405" s="454"/>
      <c r="AD405" s="672">
        <f>AD406+AD411</f>
        <v>21085</v>
      </c>
      <c r="AE405" s="634">
        <f t="shared" ref="AE405:AF405" si="116">AE406+AE411</f>
        <v>130</v>
      </c>
      <c r="AF405" s="645">
        <f t="shared" si="116"/>
        <v>0</v>
      </c>
      <c r="AG405" s="180"/>
      <c r="AH405" s="180"/>
      <c r="AI405" s="147"/>
    </row>
    <row r="406" spans="1:35" s="103" customFormat="1" ht="31.5" x14ac:dyDescent="0.25">
      <c r="A406" s="47"/>
      <c r="B406" s="78"/>
      <c r="C406" s="79"/>
      <c r="D406" s="79"/>
      <c r="E406" s="80"/>
      <c r="F406" s="80"/>
      <c r="G406" s="81"/>
      <c r="H406" s="81"/>
      <c r="I406" s="81"/>
      <c r="J406" s="81"/>
      <c r="K406" s="81"/>
      <c r="L406" s="73"/>
      <c r="M406" s="81"/>
      <c r="N406" s="73"/>
      <c r="O406" s="92"/>
      <c r="P406" s="81"/>
      <c r="Q406" s="83"/>
      <c r="R406" s="87"/>
      <c r="S406" s="87"/>
      <c r="T406" s="87"/>
      <c r="U406" s="87"/>
      <c r="V406" s="87"/>
      <c r="W406" s="87"/>
      <c r="X406" s="451" t="s">
        <v>260</v>
      </c>
      <c r="Y406" s="452" t="s">
        <v>63</v>
      </c>
      <c r="Z406" s="453" t="s">
        <v>16</v>
      </c>
      <c r="AA406" s="453" t="s">
        <v>29</v>
      </c>
      <c r="AB406" s="542" t="s">
        <v>553</v>
      </c>
      <c r="AC406" s="454"/>
      <c r="AD406" s="672">
        <f>AD409+AD407</f>
        <v>20550</v>
      </c>
      <c r="AE406" s="634">
        <f t="shared" ref="AE406:AF406" si="117">AE409+AE407</f>
        <v>130</v>
      </c>
      <c r="AF406" s="645">
        <f t="shared" si="117"/>
        <v>0</v>
      </c>
      <c r="AG406" s="180"/>
      <c r="AH406" s="180"/>
      <c r="AI406" s="147"/>
    </row>
    <row r="407" spans="1:35" s="500" customFormat="1" x14ac:dyDescent="0.25">
      <c r="A407" s="491"/>
      <c r="B407" s="493"/>
      <c r="C407" s="494"/>
      <c r="D407" s="494"/>
      <c r="E407" s="495"/>
      <c r="F407" s="495"/>
      <c r="G407" s="496"/>
      <c r="H407" s="496"/>
      <c r="I407" s="496"/>
      <c r="J407" s="496"/>
      <c r="K407" s="496"/>
      <c r="L407" s="492"/>
      <c r="M407" s="496"/>
      <c r="N407" s="492"/>
      <c r="O407" s="499"/>
      <c r="P407" s="496"/>
      <c r="Q407" s="497"/>
      <c r="R407" s="498"/>
      <c r="S407" s="498"/>
      <c r="T407" s="498"/>
      <c r="U407" s="498"/>
      <c r="V407" s="498"/>
      <c r="W407" s="498"/>
      <c r="X407" s="654" t="s">
        <v>120</v>
      </c>
      <c r="Y407" s="452" t="s">
        <v>63</v>
      </c>
      <c r="Z407" s="453" t="s">
        <v>16</v>
      </c>
      <c r="AA407" s="453" t="s">
        <v>29</v>
      </c>
      <c r="AB407" s="542" t="s">
        <v>553</v>
      </c>
      <c r="AC407" s="454">
        <v>200</v>
      </c>
      <c r="AD407" s="672">
        <f>AD408</f>
        <v>10265</v>
      </c>
      <c r="AE407" s="634">
        <f t="shared" ref="AE407:AF407" si="118">AE408</f>
        <v>130</v>
      </c>
      <c r="AF407" s="645">
        <f t="shared" si="118"/>
        <v>0</v>
      </c>
      <c r="AG407" s="506"/>
      <c r="AH407" s="506"/>
      <c r="AI407" s="502"/>
    </row>
    <row r="408" spans="1:35" s="500" customFormat="1" ht="31.5" x14ac:dyDescent="0.25">
      <c r="A408" s="491"/>
      <c r="B408" s="493"/>
      <c r="C408" s="494"/>
      <c r="D408" s="494"/>
      <c r="E408" s="495"/>
      <c r="F408" s="495"/>
      <c r="G408" s="496"/>
      <c r="H408" s="496"/>
      <c r="I408" s="496"/>
      <c r="J408" s="496"/>
      <c r="K408" s="496"/>
      <c r="L408" s="492"/>
      <c r="M408" s="496"/>
      <c r="N408" s="492"/>
      <c r="O408" s="499"/>
      <c r="P408" s="496"/>
      <c r="Q408" s="497"/>
      <c r="R408" s="498"/>
      <c r="S408" s="498"/>
      <c r="T408" s="498"/>
      <c r="U408" s="498"/>
      <c r="V408" s="498"/>
      <c r="W408" s="498"/>
      <c r="X408" s="654" t="s">
        <v>52</v>
      </c>
      <c r="Y408" s="452" t="s">
        <v>63</v>
      </c>
      <c r="Z408" s="453" t="s">
        <v>16</v>
      </c>
      <c r="AA408" s="453" t="s">
        <v>29</v>
      </c>
      <c r="AB408" s="542" t="s">
        <v>553</v>
      </c>
      <c r="AC408" s="454">
        <v>240</v>
      </c>
      <c r="AD408" s="672">
        <f>130+600+4060.5+500-4060.5+300+8735</f>
        <v>10265</v>
      </c>
      <c r="AE408" s="634">
        <v>130</v>
      </c>
      <c r="AF408" s="645">
        <v>0</v>
      </c>
      <c r="AG408" s="506"/>
      <c r="AH408" s="506"/>
      <c r="AI408" s="502"/>
    </row>
    <row r="409" spans="1:35" s="103" customFormat="1" ht="31.5" x14ac:dyDescent="0.25">
      <c r="A409" s="47"/>
      <c r="B409" s="78"/>
      <c r="C409" s="79"/>
      <c r="D409" s="79"/>
      <c r="E409" s="80"/>
      <c r="F409" s="80"/>
      <c r="G409" s="81"/>
      <c r="H409" s="81"/>
      <c r="I409" s="81"/>
      <c r="J409" s="81"/>
      <c r="K409" s="81"/>
      <c r="L409" s="73"/>
      <c r="M409" s="81"/>
      <c r="N409" s="73"/>
      <c r="O409" s="92"/>
      <c r="P409" s="81"/>
      <c r="Q409" s="83"/>
      <c r="R409" s="87"/>
      <c r="S409" s="87"/>
      <c r="T409" s="87"/>
      <c r="U409" s="87"/>
      <c r="V409" s="87"/>
      <c r="W409" s="87"/>
      <c r="X409" s="451" t="s">
        <v>60</v>
      </c>
      <c r="Y409" s="452" t="s">
        <v>63</v>
      </c>
      <c r="Z409" s="453" t="s">
        <v>16</v>
      </c>
      <c r="AA409" s="453" t="s">
        <v>29</v>
      </c>
      <c r="AB409" s="542" t="s">
        <v>553</v>
      </c>
      <c r="AC409" s="454">
        <v>600</v>
      </c>
      <c r="AD409" s="672">
        <f>AD410</f>
        <v>10285</v>
      </c>
      <c r="AE409" s="634">
        <f>AE410</f>
        <v>0</v>
      </c>
      <c r="AF409" s="645">
        <f>AF410</f>
        <v>0</v>
      </c>
      <c r="AG409" s="180"/>
      <c r="AH409" s="180"/>
      <c r="AI409" s="147"/>
    </row>
    <row r="410" spans="1:35" s="103" customFormat="1" x14ac:dyDescent="0.25">
      <c r="A410" s="47"/>
      <c r="B410" s="78"/>
      <c r="C410" s="79"/>
      <c r="D410" s="79"/>
      <c r="E410" s="80"/>
      <c r="F410" s="80"/>
      <c r="G410" s="81"/>
      <c r="H410" s="81"/>
      <c r="I410" s="81"/>
      <c r="J410" s="81"/>
      <c r="K410" s="81"/>
      <c r="L410" s="73"/>
      <c r="M410" s="81"/>
      <c r="N410" s="73"/>
      <c r="O410" s="92"/>
      <c r="P410" s="81"/>
      <c r="Q410" s="83"/>
      <c r="R410" s="87"/>
      <c r="S410" s="87"/>
      <c r="T410" s="87"/>
      <c r="U410" s="87"/>
      <c r="V410" s="87"/>
      <c r="W410" s="87"/>
      <c r="X410" s="451" t="s">
        <v>61</v>
      </c>
      <c r="Y410" s="452" t="s">
        <v>63</v>
      </c>
      <c r="Z410" s="453" t="s">
        <v>16</v>
      </c>
      <c r="AA410" s="453" t="s">
        <v>29</v>
      </c>
      <c r="AB410" s="542" t="s">
        <v>553</v>
      </c>
      <c r="AC410" s="454">
        <v>610</v>
      </c>
      <c r="AD410" s="672">
        <f>3349.5-600+4060.5+3475</f>
        <v>10285</v>
      </c>
      <c r="AE410" s="634">
        <v>0</v>
      </c>
      <c r="AF410" s="645">
        <v>0</v>
      </c>
      <c r="AG410" s="180"/>
      <c r="AH410" s="180"/>
      <c r="AI410" s="147"/>
    </row>
    <row r="411" spans="1:35" s="103" customFormat="1" ht="31.5" x14ac:dyDescent="0.25">
      <c r="A411" s="47"/>
      <c r="B411" s="78"/>
      <c r="C411" s="79"/>
      <c r="D411" s="79"/>
      <c r="E411" s="80"/>
      <c r="F411" s="80"/>
      <c r="G411" s="81"/>
      <c r="H411" s="81"/>
      <c r="I411" s="81"/>
      <c r="J411" s="81"/>
      <c r="K411" s="81"/>
      <c r="L411" s="73"/>
      <c r="M411" s="81"/>
      <c r="N411" s="73"/>
      <c r="O411" s="92"/>
      <c r="P411" s="81"/>
      <c r="Q411" s="83"/>
      <c r="R411" s="87"/>
      <c r="S411" s="87"/>
      <c r="T411" s="87"/>
      <c r="U411" s="87"/>
      <c r="V411" s="87"/>
      <c r="W411" s="87"/>
      <c r="X411" s="451" t="s">
        <v>261</v>
      </c>
      <c r="Y411" s="452" t="s">
        <v>63</v>
      </c>
      <c r="Z411" s="453" t="s">
        <v>16</v>
      </c>
      <c r="AA411" s="453" t="s">
        <v>29</v>
      </c>
      <c r="AB411" s="542" t="s">
        <v>554</v>
      </c>
      <c r="AC411" s="454"/>
      <c r="AD411" s="672">
        <f t="shared" ref="AD411:AF412" si="119">AD412</f>
        <v>535</v>
      </c>
      <c r="AE411" s="634">
        <f t="shared" si="119"/>
        <v>0</v>
      </c>
      <c r="AF411" s="645">
        <f t="shared" si="119"/>
        <v>0</v>
      </c>
      <c r="AG411" s="180"/>
      <c r="AH411" s="180"/>
      <c r="AI411" s="147"/>
    </row>
    <row r="412" spans="1:35" s="103" customFormat="1" ht="31.5" x14ac:dyDescent="0.25">
      <c r="A412" s="47"/>
      <c r="B412" s="78"/>
      <c r="C412" s="79"/>
      <c r="D412" s="79"/>
      <c r="E412" s="80"/>
      <c r="F412" s="80"/>
      <c r="G412" s="81"/>
      <c r="H412" s="81"/>
      <c r="I412" s="81"/>
      <c r="J412" s="81"/>
      <c r="K412" s="81"/>
      <c r="L412" s="73"/>
      <c r="M412" s="81"/>
      <c r="N412" s="73"/>
      <c r="O412" s="92"/>
      <c r="P412" s="81"/>
      <c r="Q412" s="83"/>
      <c r="R412" s="87"/>
      <c r="S412" s="87"/>
      <c r="T412" s="87"/>
      <c r="U412" s="87"/>
      <c r="V412" s="87"/>
      <c r="W412" s="87"/>
      <c r="X412" s="451" t="s">
        <v>60</v>
      </c>
      <c r="Y412" s="452" t="s">
        <v>63</v>
      </c>
      <c r="Z412" s="453" t="s">
        <v>16</v>
      </c>
      <c r="AA412" s="453" t="s">
        <v>29</v>
      </c>
      <c r="AB412" s="542" t="s">
        <v>554</v>
      </c>
      <c r="AC412" s="454">
        <v>600</v>
      </c>
      <c r="AD412" s="672">
        <f t="shared" si="119"/>
        <v>535</v>
      </c>
      <c r="AE412" s="634">
        <f t="shared" si="119"/>
        <v>0</v>
      </c>
      <c r="AF412" s="645">
        <f t="shared" si="119"/>
        <v>0</v>
      </c>
      <c r="AG412" s="180"/>
      <c r="AH412" s="180"/>
      <c r="AI412" s="147"/>
    </row>
    <row r="413" spans="1:35" s="103" customFormat="1" x14ac:dyDescent="0.25">
      <c r="A413" s="47"/>
      <c r="B413" s="78"/>
      <c r="C413" s="79"/>
      <c r="D413" s="79"/>
      <c r="E413" s="80"/>
      <c r="F413" s="80"/>
      <c r="G413" s="81"/>
      <c r="H413" s="81"/>
      <c r="I413" s="81"/>
      <c r="J413" s="81"/>
      <c r="K413" s="81"/>
      <c r="L413" s="73"/>
      <c r="M413" s="81"/>
      <c r="N413" s="73"/>
      <c r="O413" s="92"/>
      <c r="P413" s="81"/>
      <c r="Q413" s="83"/>
      <c r="R413" s="87"/>
      <c r="S413" s="87"/>
      <c r="T413" s="87"/>
      <c r="U413" s="87"/>
      <c r="V413" s="87"/>
      <c r="W413" s="87"/>
      <c r="X413" s="451" t="s">
        <v>61</v>
      </c>
      <c r="Y413" s="452" t="s">
        <v>63</v>
      </c>
      <c r="Z413" s="453" t="s">
        <v>16</v>
      </c>
      <c r="AA413" s="453" t="s">
        <v>29</v>
      </c>
      <c r="AB413" s="542" t="s">
        <v>554</v>
      </c>
      <c r="AC413" s="454">
        <v>610</v>
      </c>
      <c r="AD413" s="672">
        <v>535</v>
      </c>
      <c r="AE413" s="634">
        <v>0</v>
      </c>
      <c r="AF413" s="645">
        <v>0</v>
      </c>
      <c r="AG413" s="180"/>
      <c r="AH413" s="180"/>
      <c r="AI413" s="147"/>
    </row>
    <row r="414" spans="1:35" s="103" customFormat="1" ht="31.5" x14ac:dyDescent="0.25">
      <c r="A414" s="47"/>
      <c r="B414" s="78"/>
      <c r="C414" s="79"/>
      <c r="D414" s="79"/>
      <c r="E414" s="80"/>
      <c r="F414" s="80"/>
      <c r="G414" s="81"/>
      <c r="H414" s="81"/>
      <c r="I414" s="81"/>
      <c r="J414" s="81"/>
      <c r="K414" s="81"/>
      <c r="L414" s="73"/>
      <c r="M414" s="81"/>
      <c r="N414" s="73"/>
      <c r="O414" s="92"/>
      <c r="P414" s="81"/>
      <c r="Q414" s="83"/>
      <c r="R414" s="87"/>
      <c r="S414" s="87"/>
      <c r="T414" s="87"/>
      <c r="U414" s="87"/>
      <c r="V414" s="87"/>
      <c r="W414" s="87"/>
      <c r="X414" s="662" t="s">
        <v>354</v>
      </c>
      <c r="Y414" s="452" t="s">
        <v>63</v>
      </c>
      <c r="Z414" s="453" t="s">
        <v>16</v>
      </c>
      <c r="AA414" s="453" t="s">
        <v>29</v>
      </c>
      <c r="AB414" s="542" t="s">
        <v>494</v>
      </c>
      <c r="AC414" s="454"/>
      <c r="AD414" s="672">
        <f>AD415+AD418</f>
        <v>85695.4</v>
      </c>
      <c r="AE414" s="634">
        <f>AE415+AE418</f>
        <v>79609.5</v>
      </c>
      <c r="AF414" s="645">
        <f>AF415+AF418</f>
        <v>64032.5</v>
      </c>
      <c r="AG414" s="180"/>
      <c r="AH414" s="180"/>
      <c r="AI414" s="147"/>
    </row>
    <row r="415" spans="1:35" s="103" customFormat="1" ht="47.25" x14ac:dyDescent="0.25">
      <c r="A415" s="47"/>
      <c r="B415" s="78"/>
      <c r="C415" s="79"/>
      <c r="D415" s="79"/>
      <c r="E415" s="80"/>
      <c r="F415" s="80"/>
      <c r="G415" s="81"/>
      <c r="H415" s="81"/>
      <c r="I415" s="81"/>
      <c r="J415" s="81"/>
      <c r="K415" s="81"/>
      <c r="L415" s="73"/>
      <c r="M415" s="81"/>
      <c r="N415" s="73"/>
      <c r="O415" s="92"/>
      <c r="P415" s="81"/>
      <c r="Q415" s="83"/>
      <c r="R415" s="87"/>
      <c r="S415" s="87"/>
      <c r="T415" s="87"/>
      <c r="U415" s="87"/>
      <c r="V415" s="87"/>
      <c r="W415" s="87"/>
      <c r="X415" s="451" t="s">
        <v>362</v>
      </c>
      <c r="Y415" s="452" t="s">
        <v>63</v>
      </c>
      <c r="Z415" s="453" t="s">
        <v>16</v>
      </c>
      <c r="AA415" s="453" t="s">
        <v>29</v>
      </c>
      <c r="AB415" s="542" t="s">
        <v>495</v>
      </c>
      <c r="AC415" s="454"/>
      <c r="AD415" s="672">
        <f t="shared" ref="AD415:AF416" si="120">AD416</f>
        <v>41851.599999999999</v>
      </c>
      <c r="AE415" s="634">
        <f t="shared" si="120"/>
        <v>37761.300000000003</v>
      </c>
      <c r="AF415" s="645">
        <f t="shared" si="120"/>
        <v>21859.200000000001</v>
      </c>
      <c r="AG415" s="180"/>
      <c r="AH415" s="180"/>
      <c r="AI415" s="147"/>
    </row>
    <row r="416" spans="1:35" s="103" customFormat="1" ht="31.5" x14ac:dyDescent="0.25">
      <c r="A416" s="47"/>
      <c r="B416" s="78"/>
      <c r="C416" s="79"/>
      <c r="D416" s="79"/>
      <c r="E416" s="80"/>
      <c r="F416" s="80"/>
      <c r="G416" s="81"/>
      <c r="H416" s="81"/>
      <c r="I416" s="81"/>
      <c r="J416" s="81"/>
      <c r="K416" s="81"/>
      <c r="L416" s="73"/>
      <c r="M416" s="81"/>
      <c r="N416" s="73"/>
      <c r="O416" s="92"/>
      <c r="P416" s="81"/>
      <c r="Q416" s="83"/>
      <c r="R416" s="87"/>
      <c r="S416" s="87"/>
      <c r="T416" s="87"/>
      <c r="U416" s="87"/>
      <c r="V416" s="87"/>
      <c r="W416" s="87"/>
      <c r="X416" s="451" t="s">
        <v>60</v>
      </c>
      <c r="Y416" s="452" t="s">
        <v>63</v>
      </c>
      <c r="Z416" s="453" t="s">
        <v>16</v>
      </c>
      <c r="AA416" s="453" t="s">
        <v>29</v>
      </c>
      <c r="AB416" s="542" t="s">
        <v>495</v>
      </c>
      <c r="AC416" s="454">
        <v>600</v>
      </c>
      <c r="AD416" s="672">
        <f t="shared" si="120"/>
        <v>41851.599999999999</v>
      </c>
      <c r="AE416" s="634">
        <f t="shared" si="120"/>
        <v>37761.300000000003</v>
      </c>
      <c r="AF416" s="645">
        <f t="shared" si="120"/>
        <v>21859.200000000001</v>
      </c>
      <c r="AG416" s="180"/>
      <c r="AH416" s="180"/>
      <c r="AI416" s="147"/>
    </row>
    <row r="417" spans="1:35" s="103" customFormat="1" x14ac:dyDescent="0.25">
      <c r="A417" s="47"/>
      <c r="B417" s="78"/>
      <c r="C417" s="79"/>
      <c r="D417" s="79"/>
      <c r="E417" s="80"/>
      <c r="F417" s="80"/>
      <c r="G417" s="81"/>
      <c r="H417" s="81"/>
      <c r="I417" s="81"/>
      <c r="J417" s="81"/>
      <c r="K417" s="81"/>
      <c r="L417" s="73"/>
      <c r="M417" s="81"/>
      <c r="N417" s="73"/>
      <c r="O417" s="92"/>
      <c r="P417" s="81"/>
      <c r="Q417" s="83"/>
      <c r="R417" s="87"/>
      <c r="S417" s="87"/>
      <c r="T417" s="87"/>
      <c r="U417" s="87"/>
      <c r="V417" s="87"/>
      <c r="W417" s="87"/>
      <c r="X417" s="451" t="s">
        <v>61</v>
      </c>
      <c r="Y417" s="452" t="s">
        <v>63</v>
      </c>
      <c r="Z417" s="453" t="s">
        <v>16</v>
      </c>
      <c r="AA417" s="453" t="s">
        <v>29</v>
      </c>
      <c r="AB417" s="542" t="s">
        <v>495</v>
      </c>
      <c r="AC417" s="454">
        <v>610</v>
      </c>
      <c r="AD417" s="672">
        <v>41851.599999999999</v>
      </c>
      <c r="AE417" s="634">
        <v>37761.300000000003</v>
      </c>
      <c r="AF417" s="645">
        <v>21859.200000000001</v>
      </c>
      <c r="AG417" s="180"/>
      <c r="AH417" s="180"/>
      <c r="AI417" s="147"/>
    </row>
    <row r="418" spans="1:35" s="103" customFormat="1" ht="47.25" x14ac:dyDescent="0.25">
      <c r="A418" s="47"/>
      <c r="B418" s="78"/>
      <c r="C418" s="79"/>
      <c r="D418" s="79"/>
      <c r="E418" s="80"/>
      <c r="F418" s="80"/>
      <c r="G418" s="81"/>
      <c r="H418" s="81"/>
      <c r="I418" s="81"/>
      <c r="J418" s="81"/>
      <c r="K418" s="81"/>
      <c r="L418" s="73"/>
      <c r="M418" s="81"/>
      <c r="N418" s="73"/>
      <c r="O418" s="92"/>
      <c r="P418" s="81"/>
      <c r="Q418" s="83"/>
      <c r="R418" s="87"/>
      <c r="S418" s="87"/>
      <c r="T418" s="87"/>
      <c r="U418" s="87"/>
      <c r="V418" s="87"/>
      <c r="W418" s="87"/>
      <c r="X418" s="451" t="s">
        <v>363</v>
      </c>
      <c r="Y418" s="452" t="s">
        <v>63</v>
      </c>
      <c r="Z418" s="453" t="s">
        <v>16</v>
      </c>
      <c r="AA418" s="453" t="s">
        <v>29</v>
      </c>
      <c r="AB418" s="542" t="s">
        <v>496</v>
      </c>
      <c r="AC418" s="454"/>
      <c r="AD418" s="672">
        <f t="shared" ref="AD418:AF419" si="121">AD419</f>
        <v>43843.8</v>
      </c>
      <c r="AE418" s="634">
        <f t="shared" si="121"/>
        <v>41848.199999999997</v>
      </c>
      <c r="AF418" s="645">
        <f t="shared" si="121"/>
        <v>42173.3</v>
      </c>
      <c r="AG418" s="180"/>
      <c r="AH418" s="180"/>
      <c r="AI418" s="147"/>
    </row>
    <row r="419" spans="1:35" s="103" customFormat="1" ht="31.5" x14ac:dyDescent="0.25">
      <c r="A419" s="47"/>
      <c r="B419" s="78"/>
      <c r="C419" s="79"/>
      <c r="D419" s="79"/>
      <c r="E419" s="80"/>
      <c r="F419" s="80"/>
      <c r="G419" s="81"/>
      <c r="H419" s="81"/>
      <c r="I419" s="81"/>
      <c r="J419" s="81"/>
      <c r="K419" s="81"/>
      <c r="L419" s="73"/>
      <c r="M419" s="81"/>
      <c r="N419" s="73"/>
      <c r="O419" s="92"/>
      <c r="P419" s="81"/>
      <c r="Q419" s="83"/>
      <c r="R419" s="87"/>
      <c r="S419" s="87"/>
      <c r="T419" s="87"/>
      <c r="U419" s="87"/>
      <c r="V419" s="87"/>
      <c r="W419" s="87"/>
      <c r="X419" s="451" t="s">
        <v>60</v>
      </c>
      <c r="Y419" s="452" t="s">
        <v>63</v>
      </c>
      <c r="Z419" s="453" t="s">
        <v>16</v>
      </c>
      <c r="AA419" s="453" t="s">
        <v>29</v>
      </c>
      <c r="AB419" s="542" t="s">
        <v>496</v>
      </c>
      <c r="AC419" s="454">
        <v>600</v>
      </c>
      <c r="AD419" s="672">
        <f t="shared" si="121"/>
        <v>43843.8</v>
      </c>
      <c r="AE419" s="634">
        <f t="shared" si="121"/>
        <v>41848.199999999997</v>
      </c>
      <c r="AF419" s="645">
        <f t="shared" si="121"/>
        <v>42173.3</v>
      </c>
      <c r="AG419" s="180"/>
      <c r="AH419" s="180"/>
      <c r="AI419" s="147"/>
    </row>
    <row r="420" spans="1:35" s="103" customFormat="1" x14ac:dyDescent="0.25">
      <c r="A420" s="47"/>
      <c r="B420" s="78"/>
      <c r="C420" s="79"/>
      <c r="D420" s="79"/>
      <c r="E420" s="80"/>
      <c r="F420" s="80"/>
      <c r="G420" s="81"/>
      <c r="H420" s="81"/>
      <c r="I420" s="81"/>
      <c r="J420" s="81"/>
      <c r="K420" s="81"/>
      <c r="L420" s="73"/>
      <c r="M420" s="81"/>
      <c r="N420" s="73"/>
      <c r="O420" s="92"/>
      <c r="P420" s="81"/>
      <c r="Q420" s="83"/>
      <c r="R420" s="87"/>
      <c r="S420" s="87"/>
      <c r="T420" s="87"/>
      <c r="U420" s="87"/>
      <c r="V420" s="87"/>
      <c r="W420" s="87"/>
      <c r="X420" s="451" t="s">
        <v>61</v>
      </c>
      <c r="Y420" s="452" t="s">
        <v>63</v>
      </c>
      <c r="Z420" s="453" t="s">
        <v>16</v>
      </c>
      <c r="AA420" s="453" t="s">
        <v>29</v>
      </c>
      <c r="AB420" s="542" t="s">
        <v>496</v>
      </c>
      <c r="AC420" s="454">
        <v>610</v>
      </c>
      <c r="AD420" s="672">
        <v>43843.8</v>
      </c>
      <c r="AE420" s="634">
        <v>41848.199999999997</v>
      </c>
      <c r="AF420" s="645">
        <v>42173.3</v>
      </c>
      <c r="AG420" s="180"/>
      <c r="AH420" s="180"/>
      <c r="AI420" s="147"/>
    </row>
    <row r="421" spans="1:35" s="500" customFormat="1" ht="49.5" customHeight="1" x14ac:dyDescent="0.25">
      <c r="A421" s="491"/>
      <c r="B421" s="493"/>
      <c r="C421" s="494"/>
      <c r="D421" s="494"/>
      <c r="E421" s="495"/>
      <c r="F421" s="495"/>
      <c r="G421" s="496"/>
      <c r="H421" s="496"/>
      <c r="I421" s="496"/>
      <c r="J421" s="496"/>
      <c r="K421" s="496"/>
      <c r="L421" s="492"/>
      <c r="M421" s="496"/>
      <c r="N421" s="492"/>
      <c r="O421" s="499"/>
      <c r="P421" s="496"/>
      <c r="Q421" s="497"/>
      <c r="R421" s="498"/>
      <c r="S421" s="498"/>
      <c r="T421" s="498"/>
      <c r="U421" s="498"/>
      <c r="V421" s="498"/>
      <c r="W421" s="498"/>
      <c r="X421" s="451" t="s">
        <v>807</v>
      </c>
      <c r="Y421" s="452" t="s">
        <v>63</v>
      </c>
      <c r="Z421" s="453" t="s">
        <v>16</v>
      </c>
      <c r="AA421" s="453" t="s">
        <v>29</v>
      </c>
      <c r="AB421" s="542" t="s">
        <v>810</v>
      </c>
      <c r="AC421" s="454"/>
      <c r="AD421" s="672">
        <f>AD422</f>
        <v>6000</v>
      </c>
      <c r="AE421" s="672">
        <f t="shared" ref="AE421:AF421" si="122">AE422</f>
        <v>0</v>
      </c>
      <c r="AF421" s="672">
        <f t="shared" si="122"/>
        <v>0</v>
      </c>
      <c r="AG421" s="506"/>
      <c r="AH421" s="506"/>
      <c r="AI421" s="502"/>
    </row>
    <row r="422" spans="1:35" s="500" customFormat="1" ht="25.5" customHeight="1" x14ac:dyDescent="0.25">
      <c r="A422" s="491"/>
      <c r="B422" s="493"/>
      <c r="C422" s="494"/>
      <c r="D422" s="494"/>
      <c r="E422" s="495"/>
      <c r="F422" s="495"/>
      <c r="G422" s="496"/>
      <c r="H422" s="496"/>
      <c r="I422" s="496"/>
      <c r="J422" s="496"/>
      <c r="K422" s="496"/>
      <c r="L422" s="492"/>
      <c r="M422" s="496"/>
      <c r="N422" s="492"/>
      <c r="O422" s="499"/>
      <c r="P422" s="496"/>
      <c r="Q422" s="497"/>
      <c r="R422" s="498"/>
      <c r="S422" s="498"/>
      <c r="T422" s="498"/>
      <c r="U422" s="498"/>
      <c r="V422" s="498"/>
      <c r="W422" s="498"/>
      <c r="X422" s="451" t="s">
        <v>808</v>
      </c>
      <c r="Y422" s="452" t="s">
        <v>63</v>
      </c>
      <c r="Z422" s="453" t="s">
        <v>16</v>
      </c>
      <c r="AA422" s="453" t="s">
        <v>29</v>
      </c>
      <c r="AB422" s="542" t="s">
        <v>809</v>
      </c>
      <c r="AC422" s="454"/>
      <c r="AD422" s="672">
        <f>AD423</f>
        <v>6000</v>
      </c>
      <c r="AE422" s="672">
        <f t="shared" ref="AE422:AF422" si="123">AE423</f>
        <v>0</v>
      </c>
      <c r="AF422" s="672">
        <f t="shared" si="123"/>
        <v>0</v>
      </c>
      <c r="AG422" s="506"/>
      <c r="AH422" s="506"/>
      <c r="AI422" s="502"/>
    </row>
    <row r="423" spans="1:35" s="500" customFormat="1" ht="31.5" x14ac:dyDescent="0.25">
      <c r="A423" s="491"/>
      <c r="B423" s="493"/>
      <c r="C423" s="494"/>
      <c r="D423" s="494"/>
      <c r="E423" s="495"/>
      <c r="F423" s="495"/>
      <c r="G423" s="496"/>
      <c r="H423" s="496"/>
      <c r="I423" s="496"/>
      <c r="J423" s="496"/>
      <c r="K423" s="496"/>
      <c r="L423" s="492"/>
      <c r="M423" s="496"/>
      <c r="N423" s="492"/>
      <c r="O423" s="499"/>
      <c r="P423" s="496"/>
      <c r="Q423" s="497"/>
      <c r="R423" s="498"/>
      <c r="S423" s="498"/>
      <c r="T423" s="498"/>
      <c r="U423" s="498"/>
      <c r="V423" s="498"/>
      <c r="W423" s="498"/>
      <c r="X423" s="451" t="s">
        <v>60</v>
      </c>
      <c r="Y423" s="452" t="s">
        <v>63</v>
      </c>
      <c r="Z423" s="453" t="s">
        <v>16</v>
      </c>
      <c r="AA423" s="453" t="s">
        <v>29</v>
      </c>
      <c r="AB423" s="542" t="s">
        <v>809</v>
      </c>
      <c r="AC423" s="454">
        <v>600</v>
      </c>
      <c r="AD423" s="672">
        <f>AD424</f>
        <v>6000</v>
      </c>
      <c r="AE423" s="672">
        <f t="shared" ref="AE423:AF423" si="124">AE424</f>
        <v>0</v>
      </c>
      <c r="AF423" s="672">
        <f t="shared" si="124"/>
        <v>0</v>
      </c>
      <c r="AG423" s="506"/>
      <c r="AH423" s="506"/>
      <c r="AI423" s="502"/>
    </row>
    <row r="424" spans="1:35" s="500" customFormat="1" ht="21.75" customHeight="1" x14ac:dyDescent="0.25">
      <c r="A424" s="491"/>
      <c r="B424" s="493"/>
      <c r="C424" s="494"/>
      <c r="D424" s="494"/>
      <c r="E424" s="495"/>
      <c r="F424" s="495"/>
      <c r="G424" s="496"/>
      <c r="H424" s="496"/>
      <c r="I424" s="496"/>
      <c r="J424" s="496"/>
      <c r="K424" s="496"/>
      <c r="L424" s="492"/>
      <c r="M424" s="496"/>
      <c r="N424" s="492"/>
      <c r="O424" s="499"/>
      <c r="P424" s="496"/>
      <c r="Q424" s="497"/>
      <c r="R424" s="498"/>
      <c r="S424" s="498"/>
      <c r="T424" s="498"/>
      <c r="U424" s="498"/>
      <c r="V424" s="498"/>
      <c r="W424" s="498"/>
      <c r="X424" s="451" t="s">
        <v>61</v>
      </c>
      <c r="Y424" s="452" t="s">
        <v>63</v>
      </c>
      <c r="Z424" s="453" t="s">
        <v>16</v>
      </c>
      <c r="AA424" s="453" t="s">
        <v>29</v>
      </c>
      <c r="AB424" s="542" t="s">
        <v>809</v>
      </c>
      <c r="AC424" s="454">
        <v>610</v>
      </c>
      <c r="AD424" s="672">
        <v>6000</v>
      </c>
      <c r="AE424" s="634">
        <v>0</v>
      </c>
      <c r="AF424" s="645">
        <v>0</v>
      </c>
      <c r="AG424" s="506"/>
      <c r="AH424" s="506"/>
      <c r="AI424" s="502"/>
    </row>
    <row r="425" spans="1:35" s="103" customFormat="1" ht="31.5" x14ac:dyDescent="0.25">
      <c r="A425" s="47"/>
      <c r="B425" s="78"/>
      <c r="C425" s="79"/>
      <c r="D425" s="79"/>
      <c r="E425" s="80"/>
      <c r="F425" s="80"/>
      <c r="G425" s="81"/>
      <c r="H425" s="81"/>
      <c r="I425" s="81"/>
      <c r="J425" s="81"/>
      <c r="K425" s="81"/>
      <c r="L425" s="73"/>
      <c r="M425" s="81"/>
      <c r="N425" s="73"/>
      <c r="O425" s="92"/>
      <c r="P425" s="81"/>
      <c r="Q425" s="83"/>
      <c r="R425" s="87"/>
      <c r="S425" s="87"/>
      <c r="T425" s="87"/>
      <c r="U425" s="87"/>
      <c r="V425" s="87"/>
      <c r="W425" s="87"/>
      <c r="X425" s="451" t="s">
        <v>635</v>
      </c>
      <c r="Y425" s="452" t="s">
        <v>63</v>
      </c>
      <c r="Z425" s="453" t="s">
        <v>16</v>
      </c>
      <c r="AA425" s="453" t="s">
        <v>29</v>
      </c>
      <c r="AB425" s="542" t="s">
        <v>636</v>
      </c>
      <c r="AC425" s="454"/>
      <c r="AD425" s="672">
        <f>AD426</f>
        <v>1440.5</v>
      </c>
      <c r="AE425" s="634">
        <f t="shared" ref="AE425:AF427" si="125">AE426</f>
        <v>345.5</v>
      </c>
      <c r="AF425" s="645">
        <f t="shared" si="125"/>
        <v>0</v>
      </c>
      <c r="AG425" s="180"/>
      <c r="AH425" s="180"/>
      <c r="AI425" s="147"/>
    </row>
    <row r="426" spans="1:35" s="103" customFormat="1" ht="47.25" x14ac:dyDescent="0.25">
      <c r="A426" s="47"/>
      <c r="B426" s="78"/>
      <c r="C426" s="79"/>
      <c r="D426" s="79"/>
      <c r="E426" s="80"/>
      <c r="F426" s="80"/>
      <c r="G426" s="81"/>
      <c r="H426" s="81"/>
      <c r="I426" s="81"/>
      <c r="J426" s="81"/>
      <c r="K426" s="81"/>
      <c r="L426" s="73"/>
      <c r="M426" s="81"/>
      <c r="N426" s="73"/>
      <c r="O426" s="92"/>
      <c r="P426" s="81"/>
      <c r="Q426" s="83"/>
      <c r="R426" s="87"/>
      <c r="S426" s="87"/>
      <c r="T426" s="87"/>
      <c r="U426" s="87"/>
      <c r="V426" s="87"/>
      <c r="W426" s="87"/>
      <c r="X426" s="451" t="s">
        <v>637</v>
      </c>
      <c r="Y426" s="452" t="s">
        <v>63</v>
      </c>
      <c r="Z426" s="453" t="s">
        <v>16</v>
      </c>
      <c r="AA426" s="453" t="s">
        <v>29</v>
      </c>
      <c r="AB426" s="542" t="s">
        <v>638</v>
      </c>
      <c r="AC426" s="454"/>
      <c r="AD426" s="672">
        <f>AD427</f>
        <v>1440.5</v>
      </c>
      <c r="AE426" s="634">
        <f t="shared" si="125"/>
        <v>345.5</v>
      </c>
      <c r="AF426" s="645">
        <f t="shared" si="125"/>
        <v>0</v>
      </c>
      <c r="AG426" s="180"/>
      <c r="AH426" s="180"/>
      <c r="AI426" s="147"/>
    </row>
    <row r="427" spans="1:35" s="103" customFormat="1" ht="31.5" x14ac:dyDescent="0.25">
      <c r="A427" s="47"/>
      <c r="B427" s="78"/>
      <c r="C427" s="79"/>
      <c r="D427" s="79"/>
      <c r="E427" s="80"/>
      <c r="F427" s="80"/>
      <c r="G427" s="81"/>
      <c r="H427" s="81"/>
      <c r="I427" s="81"/>
      <c r="J427" s="81"/>
      <c r="K427" s="81"/>
      <c r="L427" s="73"/>
      <c r="M427" s="81"/>
      <c r="N427" s="73"/>
      <c r="O427" s="92"/>
      <c r="P427" s="81"/>
      <c r="Q427" s="83"/>
      <c r="R427" s="87"/>
      <c r="S427" s="87"/>
      <c r="T427" s="87"/>
      <c r="U427" s="87"/>
      <c r="V427" s="87"/>
      <c r="W427" s="87"/>
      <c r="X427" s="451" t="s">
        <v>60</v>
      </c>
      <c r="Y427" s="452" t="s">
        <v>63</v>
      </c>
      <c r="Z427" s="453" t="s">
        <v>16</v>
      </c>
      <c r="AA427" s="453" t="s">
        <v>29</v>
      </c>
      <c r="AB427" s="542" t="s">
        <v>638</v>
      </c>
      <c r="AC427" s="454">
        <v>600</v>
      </c>
      <c r="AD427" s="672">
        <f>AD428</f>
        <v>1440.5</v>
      </c>
      <c r="AE427" s="634">
        <f t="shared" si="125"/>
        <v>345.5</v>
      </c>
      <c r="AF427" s="645">
        <f t="shared" si="125"/>
        <v>0</v>
      </c>
      <c r="AG427" s="180"/>
      <c r="AH427" s="180"/>
      <c r="AI427" s="147"/>
    </row>
    <row r="428" spans="1:35" s="103" customFormat="1" x14ac:dyDescent="0.25">
      <c r="A428" s="47"/>
      <c r="B428" s="78"/>
      <c r="C428" s="79"/>
      <c r="D428" s="79"/>
      <c r="E428" s="80"/>
      <c r="F428" s="80"/>
      <c r="G428" s="81"/>
      <c r="H428" s="81"/>
      <c r="I428" s="81"/>
      <c r="J428" s="81"/>
      <c r="K428" s="81"/>
      <c r="L428" s="73"/>
      <c r="M428" s="81"/>
      <c r="N428" s="73"/>
      <c r="O428" s="92"/>
      <c r="P428" s="81"/>
      <c r="Q428" s="83"/>
      <c r="R428" s="87"/>
      <c r="S428" s="87"/>
      <c r="T428" s="87"/>
      <c r="U428" s="87"/>
      <c r="V428" s="87"/>
      <c r="W428" s="87"/>
      <c r="X428" s="451" t="s">
        <v>61</v>
      </c>
      <c r="Y428" s="452" t="s">
        <v>63</v>
      </c>
      <c r="Z428" s="453" t="s">
        <v>16</v>
      </c>
      <c r="AA428" s="453" t="s">
        <v>29</v>
      </c>
      <c r="AB428" s="542" t="s">
        <v>638</v>
      </c>
      <c r="AC428" s="454">
        <v>610</v>
      </c>
      <c r="AD428" s="672">
        <f>404.1+1036.4</f>
        <v>1440.5</v>
      </c>
      <c r="AE428" s="634">
        <v>345.5</v>
      </c>
      <c r="AF428" s="645">
        <v>0</v>
      </c>
      <c r="AG428" s="180"/>
      <c r="AH428" s="180"/>
      <c r="AI428" s="147"/>
    </row>
    <row r="429" spans="1:35" s="500" customFormat="1" x14ac:dyDescent="0.25">
      <c r="A429" s="491"/>
      <c r="B429" s="493"/>
      <c r="C429" s="494"/>
      <c r="D429" s="494"/>
      <c r="E429" s="495"/>
      <c r="F429" s="495"/>
      <c r="G429" s="496"/>
      <c r="H429" s="496"/>
      <c r="I429" s="496"/>
      <c r="J429" s="496"/>
      <c r="K429" s="496"/>
      <c r="L429" s="492"/>
      <c r="M429" s="496"/>
      <c r="N429" s="492"/>
      <c r="O429" s="499"/>
      <c r="P429" s="496"/>
      <c r="Q429" s="497"/>
      <c r="R429" s="498"/>
      <c r="S429" s="498"/>
      <c r="T429" s="498"/>
      <c r="U429" s="498"/>
      <c r="V429" s="498"/>
      <c r="W429" s="498"/>
      <c r="X429" s="259" t="s">
        <v>242</v>
      </c>
      <c r="Y429" s="452" t="s">
        <v>63</v>
      </c>
      <c r="Z429" s="515" t="s">
        <v>16</v>
      </c>
      <c r="AA429" s="515" t="s">
        <v>29</v>
      </c>
      <c r="AB429" s="409" t="s">
        <v>243</v>
      </c>
      <c r="AC429" s="454"/>
      <c r="AD429" s="672">
        <f t="shared" ref="AD429:AD434" si="126">AD430</f>
        <v>18637.3</v>
      </c>
      <c r="AE429" s="634">
        <f t="shared" ref="AE429:AF434" si="127">AE430</f>
        <v>21472</v>
      </c>
      <c r="AF429" s="645">
        <f t="shared" si="127"/>
        <v>22352</v>
      </c>
      <c r="AG429" s="506"/>
      <c r="AH429" s="506"/>
      <c r="AI429" s="502"/>
    </row>
    <row r="430" spans="1:35" s="500" customFormat="1" ht="31.5" x14ac:dyDescent="0.25">
      <c r="A430" s="491"/>
      <c r="B430" s="493"/>
      <c r="C430" s="494"/>
      <c r="D430" s="494"/>
      <c r="E430" s="495"/>
      <c r="F430" s="495"/>
      <c r="G430" s="496"/>
      <c r="H430" s="496"/>
      <c r="I430" s="496"/>
      <c r="J430" s="496"/>
      <c r="K430" s="496"/>
      <c r="L430" s="492"/>
      <c r="M430" s="496"/>
      <c r="N430" s="492"/>
      <c r="O430" s="499"/>
      <c r="P430" s="496"/>
      <c r="Q430" s="497"/>
      <c r="R430" s="498"/>
      <c r="S430" s="498"/>
      <c r="T430" s="498"/>
      <c r="U430" s="498"/>
      <c r="V430" s="498"/>
      <c r="W430" s="498"/>
      <c r="X430" s="275" t="s">
        <v>540</v>
      </c>
      <c r="Y430" s="511" t="s">
        <v>63</v>
      </c>
      <c r="Z430" s="515" t="s">
        <v>16</v>
      </c>
      <c r="AA430" s="515" t="s">
        <v>29</v>
      </c>
      <c r="AB430" s="409" t="s">
        <v>244</v>
      </c>
      <c r="AC430" s="454"/>
      <c r="AD430" s="672">
        <f t="shared" si="126"/>
        <v>18637.3</v>
      </c>
      <c r="AE430" s="634">
        <f t="shared" si="127"/>
        <v>21472</v>
      </c>
      <c r="AF430" s="645">
        <f t="shared" si="127"/>
        <v>22352</v>
      </c>
      <c r="AG430" s="506"/>
      <c r="AH430" s="506"/>
      <c r="AI430" s="502"/>
    </row>
    <row r="431" spans="1:35" s="500" customFormat="1" ht="31.5" x14ac:dyDescent="0.25">
      <c r="A431" s="491"/>
      <c r="B431" s="493"/>
      <c r="C431" s="494"/>
      <c r="D431" s="494"/>
      <c r="E431" s="495"/>
      <c r="F431" s="495"/>
      <c r="G431" s="496"/>
      <c r="H431" s="496"/>
      <c r="I431" s="496"/>
      <c r="J431" s="496"/>
      <c r="K431" s="496"/>
      <c r="L431" s="492"/>
      <c r="M431" s="496"/>
      <c r="N431" s="492"/>
      <c r="O431" s="499"/>
      <c r="P431" s="496"/>
      <c r="Q431" s="497"/>
      <c r="R431" s="498"/>
      <c r="S431" s="498"/>
      <c r="T431" s="498"/>
      <c r="U431" s="498"/>
      <c r="V431" s="498"/>
      <c r="W431" s="498"/>
      <c r="X431" s="257" t="s">
        <v>541</v>
      </c>
      <c r="Y431" s="511" t="s">
        <v>63</v>
      </c>
      <c r="Z431" s="515" t="s">
        <v>16</v>
      </c>
      <c r="AA431" s="515" t="s">
        <v>29</v>
      </c>
      <c r="AB431" s="409" t="s">
        <v>245</v>
      </c>
      <c r="AC431" s="454"/>
      <c r="AD431" s="672">
        <f t="shared" si="126"/>
        <v>18637.3</v>
      </c>
      <c r="AE431" s="634">
        <f t="shared" si="127"/>
        <v>21472</v>
      </c>
      <c r="AF431" s="645">
        <f t="shared" si="127"/>
        <v>22352</v>
      </c>
      <c r="AG431" s="506"/>
      <c r="AH431" s="506"/>
      <c r="AI431" s="502"/>
    </row>
    <row r="432" spans="1:35" s="500" customFormat="1" x14ac:dyDescent="0.25">
      <c r="A432" s="491"/>
      <c r="B432" s="493"/>
      <c r="C432" s="494"/>
      <c r="D432" s="494"/>
      <c r="E432" s="495"/>
      <c r="F432" s="495"/>
      <c r="G432" s="496"/>
      <c r="H432" s="496"/>
      <c r="I432" s="496"/>
      <c r="J432" s="496"/>
      <c r="K432" s="496"/>
      <c r="L432" s="492"/>
      <c r="M432" s="496"/>
      <c r="N432" s="492"/>
      <c r="O432" s="499"/>
      <c r="P432" s="496"/>
      <c r="Q432" s="497"/>
      <c r="R432" s="498"/>
      <c r="S432" s="498"/>
      <c r="T432" s="498"/>
      <c r="U432" s="498"/>
      <c r="V432" s="498"/>
      <c r="W432" s="498"/>
      <c r="X432" s="257" t="s">
        <v>632</v>
      </c>
      <c r="Y432" s="511" t="s">
        <v>63</v>
      </c>
      <c r="Z432" s="515" t="s">
        <v>16</v>
      </c>
      <c r="AA432" s="515" t="s">
        <v>29</v>
      </c>
      <c r="AB432" s="409" t="s">
        <v>633</v>
      </c>
      <c r="AC432" s="454"/>
      <c r="AD432" s="672">
        <f t="shared" si="126"/>
        <v>18637.3</v>
      </c>
      <c r="AE432" s="634">
        <f t="shared" si="127"/>
        <v>21472</v>
      </c>
      <c r="AF432" s="645">
        <f t="shared" si="127"/>
        <v>22352</v>
      </c>
      <c r="AG432" s="506"/>
      <c r="AH432" s="506"/>
      <c r="AI432" s="502"/>
    </row>
    <row r="433" spans="1:35" s="500" customFormat="1" x14ac:dyDescent="0.25">
      <c r="A433" s="491"/>
      <c r="B433" s="493"/>
      <c r="C433" s="494"/>
      <c r="D433" s="494"/>
      <c r="E433" s="495"/>
      <c r="F433" s="495"/>
      <c r="G433" s="496"/>
      <c r="H433" s="496"/>
      <c r="I433" s="496"/>
      <c r="J433" s="496"/>
      <c r="K433" s="496"/>
      <c r="L433" s="492"/>
      <c r="M433" s="496"/>
      <c r="N433" s="492"/>
      <c r="O433" s="499"/>
      <c r="P433" s="496"/>
      <c r="Q433" s="497"/>
      <c r="R433" s="498"/>
      <c r="S433" s="498"/>
      <c r="T433" s="498"/>
      <c r="U433" s="498"/>
      <c r="V433" s="498"/>
      <c r="W433" s="498"/>
      <c r="X433" s="257" t="s">
        <v>725</v>
      </c>
      <c r="Y433" s="511" t="s">
        <v>63</v>
      </c>
      <c r="Z433" s="515" t="s">
        <v>16</v>
      </c>
      <c r="AA433" s="515" t="s">
        <v>29</v>
      </c>
      <c r="AB433" s="409" t="s">
        <v>690</v>
      </c>
      <c r="AC433" s="516"/>
      <c r="AD433" s="672">
        <f t="shared" si="126"/>
        <v>18637.3</v>
      </c>
      <c r="AE433" s="634">
        <f t="shared" si="127"/>
        <v>21472</v>
      </c>
      <c r="AF433" s="645">
        <f t="shared" si="127"/>
        <v>22352</v>
      </c>
      <c r="AG433" s="506"/>
      <c r="AH433" s="506"/>
      <c r="AI433" s="502"/>
    </row>
    <row r="434" spans="1:35" s="500" customFormat="1" ht="31.5" x14ac:dyDescent="0.25">
      <c r="A434" s="491"/>
      <c r="B434" s="493"/>
      <c r="C434" s="494"/>
      <c r="D434" s="494"/>
      <c r="E434" s="495"/>
      <c r="F434" s="495"/>
      <c r="G434" s="496"/>
      <c r="H434" s="496"/>
      <c r="I434" s="496"/>
      <c r="J434" s="496"/>
      <c r="K434" s="496"/>
      <c r="L434" s="492"/>
      <c r="M434" s="496"/>
      <c r="N434" s="492"/>
      <c r="O434" s="499"/>
      <c r="P434" s="496"/>
      <c r="Q434" s="497"/>
      <c r="R434" s="498"/>
      <c r="S434" s="498"/>
      <c r="T434" s="498"/>
      <c r="U434" s="498"/>
      <c r="V434" s="498"/>
      <c r="W434" s="498"/>
      <c r="X434" s="523" t="s">
        <v>60</v>
      </c>
      <c r="Y434" s="511" t="s">
        <v>63</v>
      </c>
      <c r="Z434" s="515" t="s">
        <v>16</v>
      </c>
      <c r="AA434" s="515" t="s">
        <v>29</v>
      </c>
      <c r="AB434" s="409" t="s">
        <v>690</v>
      </c>
      <c r="AC434" s="516">
        <v>600</v>
      </c>
      <c r="AD434" s="672">
        <f t="shared" si="126"/>
        <v>18637.3</v>
      </c>
      <c r="AE434" s="634">
        <f t="shared" si="127"/>
        <v>21472</v>
      </c>
      <c r="AF434" s="645">
        <f t="shared" si="127"/>
        <v>22352</v>
      </c>
      <c r="AG434" s="506"/>
      <c r="AH434" s="506"/>
      <c r="AI434" s="502"/>
    </row>
    <row r="435" spans="1:35" s="500" customFormat="1" x14ac:dyDescent="0.25">
      <c r="A435" s="491"/>
      <c r="B435" s="493"/>
      <c r="C435" s="494"/>
      <c r="D435" s="494"/>
      <c r="E435" s="495"/>
      <c r="F435" s="495"/>
      <c r="G435" s="496"/>
      <c r="H435" s="496"/>
      <c r="I435" s="496"/>
      <c r="J435" s="496"/>
      <c r="K435" s="496"/>
      <c r="L435" s="492"/>
      <c r="M435" s="496"/>
      <c r="N435" s="492"/>
      <c r="O435" s="499"/>
      <c r="P435" s="496"/>
      <c r="Q435" s="497"/>
      <c r="R435" s="498"/>
      <c r="S435" s="498"/>
      <c r="T435" s="498"/>
      <c r="U435" s="498"/>
      <c r="V435" s="498"/>
      <c r="W435" s="498"/>
      <c r="X435" s="523" t="s">
        <v>61</v>
      </c>
      <c r="Y435" s="511" t="s">
        <v>63</v>
      </c>
      <c r="Z435" s="515" t="s">
        <v>16</v>
      </c>
      <c r="AA435" s="515" t="s">
        <v>29</v>
      </c>
      <c r="AB435" s="409" t="s">
        <v>690</v>
      </c>
      <c r="AC435" s="516">
        <v>610</v>
      </c>
      <c r="AD435" s="672">
        <f>20666-2028.7</f>
        <v>18637.3</v>
      </c>
      <c r="AE435" s="634">
        <v>21472</v>
      </c>
      <c r="AF435" s="645">
        <v>22352</v>
      </c>
      <c r="AG435" s="506"/>
      <c r="AH435" s="506"/>
      <c r="AI435" s="502"/>
    </row>
    <row r="436" spans="1:35" s="500" customFormat="1" x14ac:dyDescent="0.25">
      <c r="A436" s="491"/>
      <c r="B436" s="493"/>
      <c r="C436" s="494"/>
      <c r="D436" s="494"/>
      <c r="E436" s="495"/>
      <c r="F436" s="495"/>
      <c r="G436" s="496"/>
      <c r="H436" s="496"/>
      <c r="I436" s="496"/>
      <c r="J436" s="496"/>
      <c r="K436" s="496"/>
      <c r="L436" s="492"/>
      <c r="M436" s="496"/>
      <c r="N436" s="492"/>
      <c r="O436" s="499"/>
      <c r="P436" s="496"/>
      <c r="Q436" s="497"/>
      <c r="R436" s="498"/>
      <c r="S436" s="498"/>
      <c r="T436" s="498"/>
      <c r="U436" s="498"/>
      <c r="V436" s="498"/>
      <c r="W436" s="498"/>
      <c r="X436" s="451" t="s">
        <v>762</v>
      </c>
      <c r="Y436" s="511" t="s">
        <v>63</v>
      </c>
      <c r="Z436" s="453" t="s">
        <v>22</v>
      </c>
      <c r="AA436" s="453"/>
      <c r="AB436" s="542"/>
      <c r="AC436" s="454"/>
      <c r="AD436" s="672">
        <f t="shared" ref="AD436:AF442" si="128">AD437</f>
        <v>650</v>
      </c>
      <c r="AE436" s="634">
        <f t="shared" si="128"/>
        <v>0</v>
      </c>
      <c r="AF436" s="645">
        <f t="shared" si="128"/>
        <v>0</v>
      </c>
      <c r="AG436" s="506"/>
      <c r="AH436" s="506"/>
      <c r="AI436" s="502"/>
    </row>
    <row r="437" spans="1:35" s="500" customFormat="1" x14ac:dyDescent="0.25">
      <c r="A437" s="491"/>
      <c r="B437" s="493"/>
      <c r="C437" s="494"/>
      <c r="D437" s="494"/>
      <c r="E437" s="495"/>
      <c r="F437" s="495"/>
      <c r="G437" s="496"/>
      <c r="H437" s="496"/>
      <c r="I437" s="496"/>
      <c r="J437" s="496"/>
      <c r="K437" s="496"/>
      <c r="L437" s="492"/>
      <c r="M437" s="496"/>
      <c r="N437" s="492"/>
      <c r="O437" s="499"/>
      <c r="P437" s="496"/>
      <c r="Q437" s="497"/>
      <c r="R437" s="498"/>
      <c r="S437" s="498"/>
      <c r="T437" s="498"/>
      <c r="U437" s="498"/>
      <c r="V437" s="498"/>
      <c r="W437" s="498"/>
      <c r="X437" s="451" t="s">
        <v>763</v>
      </c>
      <c r="Y437" s="452" t="s">
        <v>63</v>
      </c>
      <c r="Z437" s="453" t="s">
        <v>22</v>
      </c>
      <c r="AA437" s="453" t="s">
        <v>22</v>
      </c>
      <c r="AB437" s="542"/>
      <c r="AC437" s="454"/>
      <c r="AD437" s="672">
        <f t="shared" si="128"/>
        <v>650</v>
      </c>
      <c r="AE437" s="634">
        <f t="shared" si="128"/>
        <v>0</v>
      </c>
      <c r="AF437" s="645">
        <f t="shared" si="128"/>
        <v>0</v>
      </c>
      <c r="AG437" s="506"/>
      <c r="AH437" s="506"/>
      <c r="AI437" s="502"/>
    </row>
    <row r="438" spans="1:35" s="500" customFormat="1" x14ac:dyDescent="0.25">
      <c r="A438" s="491"/>
      <c r="B438" s="493"/>
      <c r="C438" s="494"/>
      <c r="D438" s="494"/>
      <c r="E438" s="495"/>
      <c r="F438" s="495"/>
      <c r="G438" s="496"/>
      <c r="H438" s="496"/>
      <c r="I438" s="496"/>
      <c r="J438" s="496"/>
      <c r="K438" s="496"/>
      <c r="L438" s="492"/>
      <c r="M438" s="496"/>
      <c r="N438" s="492"/>
      <c r="O438" s="499"/>
      <c r="P438" s="496"/>
      <c r="Q438" s="497"/>
      <c r="R438" s="498"/>
      <c r="S438" s="498"/>
      <c r="T438" s="498"/>
      <c r="U438" s="498"/>
      <c r="V438" s="498"/>
      <c r="W438" s="498"/>
      <c r="X438" s="451" t="s">
        <v>764</v>
      </c>
      <c r="Y438" s="452" t="s">
        <v>63</v>
      </c>
      <c r="Z438" s="453" t="s">
        <v>22</v>
      </c>
      <c r="AA438" s="453" t="s">
        <v>22</v>
      </c>
      <c r="AB438" s="542" t="s">
        <v>765</v>
      </c>
      <c r="AC438" s="454"/>
      <c r="AD438" s="672">
        <f t="shared" si="128"/>
        <v>650</v>
      </c>
      <c r="AE438" s="634">
        <f t="shared" si="128"/>
        <v>0</v>
      </c>
      <c r="AF438" s="645">
        <f t="shared" si="128"/>
        <v>0</v>
      </c>
      <c r="AG438" s="506"/>
      <c r="AH438" s="506"/>
      <c r="AI438" s="502"/>
    </row>
    <row r="439" spans="1:35" s="500" customFormat="1" x14ac:dyDescent="0.25">
      <c r="A439" s="491"/>
      <c r="B439" s="493"/>
      <c r="C439" s="494"/>
      <c r="D439" s="494"/>
      <c r="E439" s="495"/>
      <c r="F439" s="495"/>
      <c r="G439" s="496"/>
      <c r="H439" s="496"/>
      <c r="I439" s="496"/>
      <c r="J439" s="496"/>
      <c r="K439" s="496"/>
      <c r="L439" s="492"/>
      <c r="M439" s="496"/>
      <c r="N439" s="492"/>
      <c r="O439" s="499"/>
      <c r="P439" s="496"/>
      <c r="Q439" s="497"/>
      <c r="R439" s="498"/>
      <c r="S439" s="498"/>
      <c r="T439" s="498"/>
      <c r="U439" s="498"/>
      <c r="V439" s="498"/>
      <c r="W439" s="498"/>
      <c r="X439" s="451" t="s">
        <v>766</v>
      </c>
      <c r="Y439" s="452" t="s">
        <v>63</v>
      </c>
      <c r="Z439" s="453" t="s">
        <v>22</v>
      </c>
      <c r="AA439" s="453" t="s">
        <v>22</v>
      </c>
      <c r="AB439" s="542" t="s">
        <v>767</v>
      </c>
      <c r="AC439" s="454"/>
      <c r="AD439" s="672">
        <f t="shared" si="128"/>
        <v>650</v>
      </c>
      <c r="AE439" s="634">
        <f t="shared" si="128"/>
        <v>0</v>
      </c>
      <c r="AF439" s="645">
        <f t="shared" si="128"/>
        <v>0</v>
      </c>
      <c r="AG439" s="506"/>
      <c r="AH439" s="506"/>
      <c r="AI439" s="502"/>
    </row>
    <row r="440" spans="1:35" s="500" customFormat="1" ht="31.5" x14ac:dyDescent="0.25">
      <c r="A440" s="491"/>
      <c r="B440" s="493"/>
      <c r="C440" s="494"/>
      <c r="D440" s="494"/>
      <c r="E440" s="495"/>
      <c r="F440" s="495"/>
      <c r="G440" s="496"/>
      <c r="H440" s="496"/>
      <c r="I440" s="496"/>
      <c r="J440" s="496"/>
      <c r="K440" s="496"/>
      <c r="L440" s="492"/>
      <c r="M440" s="496"/>
      <c r="N440" s="492"/>
      <c r="O440" s="499"/>
      <c r="P440" s="496"/>
      <c r="Q440" s="497"/>
      <c r="R440" s="498"/>
      <c r="S440" s="498"/>
      <c r="T440" s="498"/>
      <c r="U440" s="498"/>
      <c r="V440" s="498"/>
      <c r="W440" s="498"/>
      <c r="X440" s="451" t="s">
        <v>768</v>
      </c>
      <c r="Y440" s="452" t="s">
        <v>63</v>
      </c>
      <c r="Z440" s="453" t="s">
        <v>22</v>
      </c>
      <c r="AA440" s="453" t="s">
        <v>22</v>
      </c>
      <c r="AB440" s="542" t="s">
        <v>769</v>
      </c>
      <c r="AC440" s="454"/>
      <c r="AD440" s="672">
        <f t="shared" si="128"/>
        <v>650</v>
      </c>
      <c r="AE440" s="634">
        <f t="shared" si="128"/>
        <v>0</v>
      </c>
      <c r="AF440" s="645">
        <f t="shared" si="128"/>
        <v>0</v>
      </c>
      <c r="AG440" s="506"/>
      <c r="AH440" s="506"/>
      <c r="AI440" s="502"/>
    </row>
    <row r="441" spans="1:35" s="500" customFormat="1" ht="51.75" customHeight="1" x14ac:dyDescent="0.25">
      <c r="A441" s="491"/>
      <c r="B441" s="493"/>
      <c r="C441" s="494"/>
      <c r="D441" s="494"/>
      <c r="E441" s="495"/>
      <c r="F441" s="495"/>
      <c r="G441" s="496"/>
      <c r="H441" s="496"/>
      <c r="I441" s="496"/>
      <c r="J441" s="496"/>
      <c r="K441" s="496"/>
      <c r="L441" s="492"/>
      <c r="M441" s="496"/>
      <c r="N441" s="492"/>
      <c r="O441" s="499"/>
      <c r="P441" s="496"/>
      <c r="Q441" s="497"/>
      <c r="R441" s="498"/>
      <c r="S441" s="498"/>
      <c r="T441" s="498"/>
      <c r="U441" s="498"/>
      <c r="V441" s="498"/>
      <c r="W441" s="498"/>
      <c r="X441" s="451" t="s">
        <v>771</v>
      </c>
      <c r="Y441" s="452" t="s">
        <v>63</v>
      </c>
      <c r="Z441" s="453" t="s">
        <v>22</v>
      </c>
      <c r="AA441" s="453" t="s">
        <v>22</v>
      </c>
      <c r="AB441" s="542" t="s">
        <v>770</v>
      </c>
      <c r="AC441" s="454"/>
      <c r="AD441" s="672">
        <f t="shared" si="128"/>
        <v>650</v>
      </c>
      <c r="AE441" s="634">
        <f t="shared" si="128"/>
        <v>0</v>
      </c>
      <c r="AF441" s="645">
        <f t="shared" si="128"/>
        <v>0</v>
      </c>
      <c r="AG441" s="506"/>
      <c r="AH441" s="506"/>
      <c r="AI441" s="502"/>
    </row>
    <row r="442" spans="1:35" s="500" customFormat="1" x14ac:dyDescent="0.25">
      <c r="A442" s="491"/>
      <c r="B442" s="493"/>
      <c r="C442" s="494"/>
      <c r="D442" s="494"/>
      <c r="E442" s="495"/>
      <c r="F442" s="495"/>
      <c r="G442" s="496"/>
      <c r="H442" s="496"/>
      <c r="I442" s="496"/>
      <c r="J442" s="496"/>
      <c r="K442" s="496"/>
      <c r="L442" s="492"/>
      <c r="M442" s="496"/>
      <c r="N442" s="492"/>
      <c r="O442" s="499"/>
      <c r="P442" s="496"/>
      <c r="Q442" s="497"/>
      <c r="R442" s="498"/>
      <c r="S442" s="498"/>
      <c r="T442" s="498"/>
      <c r="U442" s="498"/>
      <c r="V442" s="498"/>
      <c r="W442" s="498"/>
      <c r="X442" s="451" t="s">
        <v>97</v>
      </c>
      <c r="Y442" s="452" t="s">
        <v>63</v>
      </c>
      <c r="Z442" s="453" t="s">
        <v>22</v>
      </c>
      <c r="AA442" s="453" t="s">
        <v>22</v>
      </c>
      <c r="AB442" s="542" t="s">
        <v>770</v>
      </c>
      <c r="AC442" s="454">
        <v>300</v>
      </c>
      <c r="AD442" s="672">
        <f t="shared" si="128"/>
        <v>650</v>
      </c>
      <c r="AE442" s="634">
        <f t="shared" si="128"/>
        <v>0</v>
      </c>
      <c r="AF442" s="645">
        <f t="shared" si="128"/>
        <v>0</v>
      </c>
      <c r="AG442" s="506"/>
      <c r="AH442" s="506"/>
      <c r="AI442" s="502"/>
    </row>
    <row r="443" spans="1:35" s="77" customFormat="1" x14ac:dyDescent="0.25">
      <c r="A443" s="68"/>
      <c r="B443" s="69"/>
      <c r="C443" s="71"/>
      <c r="D443" s="72"/>
      <c r="E443" s="72"/>
      <c r="F443" s="72"/>
      <c r="G443" s="73"/>
      <c r="H443" s="73"/>
      <c r="I443" s="73"/>
      <c r="J443" s="73"/>
      <c r="K443" s="73"/>
      <c r="L443" s="73"/>
      <c r="M443" s="73"/>
      <c r="N443" s="73"/>
      <c r="O443" s="74"/>
      <c r="P443" s="73"/>
      <c r="Q443" s="75"/>
      <c r="R443" s="95"/>
      <c r="S443" s="95"/>
      <c r="T443" s="95"/>
      <c r="U443" s="95"/>
      <c r="V443" s="95"/>
      <c r="W443" s="95"/>
      <c r="X443" s="451" t="s">
        <v>40</v>
      </c>
      <c r="Y443" s="452" t="s">
        <v>63</v>
      </c>
      <c r="Z443" s="453" t="s">
        <v>22</v>
      </c>
      <c r="AA443" s="453" t="s">
        <v>22</v>
      </c>
      <c r="AB443" s="542" t="s">
        <v>770</v>
      </c>
      <c r="AC443" s="454">
        <v>320</v>
      </c>
      <c r="AD443" s="672">
        <f>300+50+300</f>
        <v>650</v>
      </c>
      <c r="AE443" s="634">
        <v>0</v>
      </c>
      <c r="AF443" s="645">
        <v>0</v>
      </c>
      <c r="AG443" s="205"/>
      <c r="AH443" s="205"/>
      <c r="AI443" s="147"/>
    </row>
    <row r="444" spans="1:35" s="77" customFormat="1" x14ac:dyDescent="0.25">
      <c r="A444" s="68"/>
      <c r="B444" s="69"/>
      <c r="C444" s="71"/>
      <c r="D444" s="72"/>
      <c r="E444" s="72"/>
      <c r="F444" s="72"/>
      <c r="G444" s="492"/>
      <c r="H444" s="492"/>
      <c r="I444" s="492"/>
      <c r="J444" s="492"/>
      <c r="K444" s="492"/>
      <c r="L444" s="492"/>
      <c r="M444" s="492"/>
      <c r="N444" s="492"/>
      <c r="O444" s="74"/>
      <c r="P444" s="492"/>
      <c r="Q444" s="75"/>
      <c r="R444" s="95"/>
      <c r="S444" s="95"/>
      <c r="T444" s="95"/>
      <c r="U444" s="95"/>
      <c r="V444" s="95"/>
      <c r="W444" s="95"/>
      <c r="X444" s="653" t="s">
        <v>94</v>
      </c>
      <c r="Y444" s="448" t="s">
        <v>63</v>
      </c>
      <c r="Z444" s="471" t="s">
        <v>36</v>
      </c>
      <c r="AA444" s="453"/>
      <c r="AB444" s="542"/>
      <c r="AC444" s="454"/>
      <c r="AD444" s="672">
        <f>AD445+AD459+AD464+AD452</f>
        <v>5017.1000000000004</v>
      </c>
      <c r="AE444" s="672">
        <f t="shared" ref="AE444:AF444" si="129">AE445+AE459+AE464+AE452</f>
        <v>4976</v>
      </c>
      <c r="AF444" s="672">
        <f t="shared" si="129"/>
        <v>4976</v>
      </c>
      <c r="AG444" s="205"/>
      <c r="AH444" s="205"/>
      <c r="AI444" s="502"/>
    </row>
    <row r="445" spans="1:35" s="103" customFormat="1" x14ac:dyDescent="0.25">
      <c r="A445" s="47"/>
      <c r="B445" s="78"/>
      <c r="C445" s="79"/>
      <c r="D445" s="79"/>
      <c r="E445" s="80"/>
      <c r="F445" s="79"/>
      <c r="G445" s="81"/>
      <c r="H445" s="81"/>
      <c r="I445" s="81"/>
      <c r="J445" s="81"/>
      <c r="K445" s="81"/>
      <c r="L445" s="73"/>
      <c r="M445" s="81"/>
      <c r="N445" s="73"/>
      <c r="O445" s="82"/>
      <c r="P445" s="81"/>
      <c r="Q445" s="83"/>
      <c r="R445" s="87"/>
      <c r="S445" s="87"/>
      <c r="T445" s="87"/>
      <c r="U445" s="87"/>
      <c r="V445" s="87"/>
      <c r="W445" s="87"/>
      <c r="X445" s="451" t="s">
        <v>55</v>
      </c>
      <c r="Y445" s="452" t="s">
        <v>63</v>
      </c>
      <c r="Z445" s="453">
        <v>10</v>
      </c>
      <c r="AA445" s="453" t="s">
        <v>29</v>
      </c>
      <c r="AB445" s="541"/>
      <c r="AC445" s="450"/>
      <c r="AD445" s="672">
        <f>AD446</f>
        <v>4010</v>
      </c>
      <c r="AE445" s="634">
        <f>AE446</f>
        <v>4010</v>
      </c>
      <c r="AF445" s="645">
        <f>AF446</f>
        <v>4010</v>
      </c>
      <c r="AG445" s="180"/>
      <c r="AH445" s="180"/>
      <c r="AI445" s="147"/>
    </row>
    <row r="446" spans="1:35" s="103" customFormat="1" x14ac:dyDescent="0.25">
      <c r="A446" s="89"/>
      <c r="B446" s="78"/>
      <c r="C446" s="79"/>
      <c r="D446" s="79"/>
      <c r="E446" s="80"/>
      <c r="F446" s="79"/>
      <c r="G446" s="81"/>
      <c r="H446" s="81"/>
      <c r="I446" s="81"/>
      <c r="J446" s="81"/>
      <c r="K446" s="81"/>
      <c r="L446" s="73"/>
      <c r="M446" s="81"/>
      <c r="N446" s="73"/>
      <c r="O446" s="82"/>
      <c r="P446" s="81"/>
      <c r="Q446" s="83"/>
      <c r="R446" s="87"/>
      <c r="S446" s="87"/>
      <c r="T446" s="87"/>
      <c r="U446" s="87"/>
      <c r="V446" s="87"/>
      <c r="W446" s="87"/>
      <c r="X446" s="457" t="s">
        <v>292</v>
      </c>
      <c r="Y446" s="452" t="s">
        <v>63</v>
      </c>
      <c r="Z446" s="453">
        <v>10</v>
      </c>
      <c r="AA446" s="453" t="s">
        <v>29</v>
      </c>
      <c r="AB446" s="542" t="s">
        <v>109</v>
      </c>
      <c r="AC446" s="450"/>
      <c r="AD446" s="672">
        <f>AD448</f>
        <v>4010</v>
      </c>
      <c r="AE446" s="634">
        <f>AE448</f>
        <v>4010</v>
      </c>
      <c r="AF446" s="645">
        <f>AF448</f>
        <v>4010</v>
      </c>
      <c r="AG446" s="180"/>
      <c r="AH446" s="180"/>
      <c r="AI446" s="147"/>
    </row>
    <row r="447" spans="1:35" s="103" customFormat="1" x14ac:dyDescent="0.25">
      <c r="A447" s="89"/>
      <c r="B447" s="78"/>
      <c r="C447" s="79"/>
      <c r="D447" s="79"/>
      <c r="E447" s="80"/>
      <c r="F447" s="79"/>
      <c r="G447" s="81"/>
      <c r="H447" s="81"/>
      <c r="I447" s="81"/>
      <c r="J447" s="81"/>
      <c r="K447" s="81"/>
      <c r="L447" s="73"/>
      <c r="M447" s="81"/>
      <c r="N447" s="73"/>
      <c r="O447" s="82"/>
      <c r="P447" s="81"/>
      <c r="Q447" s="83"/>
      <c r="R447" s="87"/>
      <c r="S447" s="87"/>
      <c r="T447" s="87"/>
      <c r="U447" s="87"/>
      <c r="V447" s="87"/>
      <c r="W447" s="87"/>
      <c r="X447" s="457" t="s">
        <v>293</v>
      </c>
      <c r="Y447" s="452" t="s">
        <v>63</v>
      </c>
      <c r="Z447" s="453">
        <v>10</v>
      </c>
      <c r="AA447" s="453" t="s">
        <v>29</v>
      </c>
      <c r="AB447" s="542" t="s">
        <v>118</v>
      </c>
      <c r="AC447" s="450"/>
      <c r="AD447" s="672">
        <f>AD448</f>
        <v>4010</v>
      </c>
      <c r="AE447" s="634">
        <f>AE448</f>
        <v>4010</v>
      </c>
      <c r="AF447" s="645">
        <f>AF448</f>
        <v>4010</v>
      </c>
      <c r="AG447" s="180"/>
      <c r="AH447" s="180"/>
      <c r="AI447" s="147"/>
    </row>
    <row r="448" spans="1:35" s="103" customFormat="1" ht="31.5" x14ac:dyDescent="0.25">
      <c r="A448" s="89"/>
      <c r="B448" s="78"/>
      <c r="C448" s="79"/>
      <c r="D448" s="79"/>
      <c r="E448" s="80"/>
      <c r="F448" s="79"/>
      <c r="G448" s="81"/>
      <c r="H448" s="81"/>
      <c r="I448" s="81"/>
      <c r="J448" s="81"/>
      <c r="K448" s="81"/>
      <c r="L448" s="73"/>
      <c r="M448" s="81"/>
      <c r="N448" s="73"/>
      <c r="O448" s="82"/>
      <c r="P448" s="81"/>
      <c r="Q448" s="83"/>
      <c r="R448" s="87"/>
      <c r="S448" s="87"/>
      <c r="T448" s="87"/>
      <c r="U448" s="87"/>
      <c r="V448" s="87"/>
      <c r="W448" s="87"/>
      <c r="X448" s="457" t="s">
        <v>466</v>
      </c>
      <c r="Y448" s="452" t="s">
        <v>63</v>
      </c>
      <c r="Z448" s="453">
        <v>10</v>
      </c>
      <c r="AA448" s="453" t="s">
        <v>29</v>
      </c>
      <c r="AB448" s="542" t="s">
        <v>465</v>
      </c>
      <c r="AC448" s="450"/>
      <c r="AD448" s="672">
        <f t="shared" ref="AD448:AF450" si="130">AD449</f>
        <v>4010</v>
      </c>
      <c r="AE448" s="634">
        <f t="shared" si="130"/>
        <v>4010</v>
      </c>
      <c r="AF448" s="645">
        <f t="shared" si="130"/>
        <v>4010</v>
      </c>
      <c r="AG448" s="180"/>
      <c r="AH448" s="180"/>
      <c r="AI448" s="147"/>
    </row>
    <row r="449" spans="1:35" s="103" customFormat="1" ht="31.5" x14ac:dyDescent="0.25">
      <c r="A449" s="89"/>
      <c r="B449" s="78"/>
      <c r="C449" s="79"/>
      <c r="D449" s="79"/>
      <c r="E449" s="80"/>
      <c r="F449" s="79"/>
      <c r="G449" s="81"/>
      <c r="H449" s="81"/>
      <c r="I449" s="81"/>
      <c r="J449" s="81"/>
      <c r="K449" s="81"/>
      <c r="L449" s="73"/>
      <c r="M449" s="81"/>
      <c r="N449" s="73"/>
      <c r="O449" s="82"/>
      <c r="P449" s="81"/>
      <c r="Q449" s="83"/>
      <c r="R449" s="87"/>
      <c r="S449" s="87"/>
      <c r="T449" s="87"/>
      <c r="U449" s="87"/>
      <c r="V449" s="87"/>
      <c r="W449" s="87"/>
      <c r="X449" s="466" t="s">
        <v>295</v>
      </c>
      <c r="Y449" s="452" t="s">
        <v>63</v>
      </c>
      <c r="Z449" s="453">
        <v>10</v>
      </c>
      <c r="AA449" s="453" t="s">
        <v>29</v>
      </c>
      <c r="AB449" s="542" t="s">
        <v>464</v>
      </c>
      <c r="AC449" s="450"/>
      <c r="AD449" s="672">
        <f t="shared" si="130"/>
        <v>4010</v>
      </c>
      <c r="AE449" s="634">
        <f t="shared" si="130"/>
        <v>4010</v>
      </c>
      <c r="AF449" s="645">
        <f t="shared" si="130"/>
        <v>4010</v>
      </c>
      <c r="AG449" s="180"/>
      <c r="AH449" s="180"/>
      <c r="AI449" s="147"/>
    </row>
    <row r="450" spans="1:35" s="103" customFormat="1" x14ac:dyDescent="0.25">
      <c r="A450" s="90"/>
      <c r="B450" s="78"/>
      <c r="C450" s="79"/>
      <c r="D450" s="79"/>
      <c r="E450" s="80"/>
      <c r="F450" s="79"/>
      <c r="G450" s="81"/>
      <c r="H450" s="105"/>
      <c r="I450" s="49"/>
      <c r="J450" s="49"/>
      <c r="K450" s="49"/>
      <c r="L450" s="73"/>
      <c r="M450" s="49"/>
      <c r="N450" s="73"/>
      <c r="O450" s="82"/>
      <c r="P450" s="81"/>
      <c r="Q450" s="83"/>
      <c r="R450" s="87"/>
      <c r="S450" s="87"/>
      <c r="T450" s="87"/>
      <c r="U450" s="87"/>
      <c r="V450" s="87"/>
      <c r="W450" s="105"/>
      <c r="X450" s="451" t="s">
        <v>97</v>
      </c>
      <c r="Y450" s="452" t="s">
        <v>63</v>
      </c>
      <c r="Z450" s="453">
        <v>10</v>
      </c>
      <c r="AA450" s="453" t="s">
        <v>29</v>
      </c>
      <c r="AB450" s="542" t="s">
        <v>464</v>
      </c>
      <c r="AC450" s="454">
        <v>300</v>
      </c>
      <c r="AD450" s="672">
        <f t="shared" si="130"/>
        <v>4010</v>
      </c>
      <c r="AE450" s="634">
        <f t="shared" si="130"/>
        <v>4010</v>
      </c>
      <c r="AF450" s="645">
        <f t="shared" si="130"/>
        <v>4010</v>
      </c>
      <c r="AG450" s="180"/>
      <c r="AH450" s="180"/>
      <c r="AI450" s="147"/>
    </row>
    <row r="451" spans="1:35" x14ac:dyDescent="0.25">
      <c r="A451" s="47"/>
      <c r="B451" s="78"/>
      <c r="C451" s="79"/>
      <c r="D451" s="79"/>
      <c r="E451" s="80"/>
      <c r="F451" s="80"/>
      <c r="G451" s="81"/>
      <c r="H451" s="81"/>
      <c r="I451" s="81"/>
      <c r="J451" s="81"/>
      <c r="K451" s="81"/>
      <c r="L451" s="73"/>
      <c r="M451" s="81"/>
      <c r="N451" s="73"/>
      <c r="O451" s="81"/>
      <c r="P451" s="81"/>
      <c r="Q451" s="83"/>
      <c r="R451" s="87"/>
      <c r="S451" s="87"/>
      <c r="T451" s="87"/>
      <c r="U451" s="87"/>
      <c r="V451" s="87"/>
      <c r="W451" s="87"/>
      <c r="X451" s="451" t="s">
        <v>40</v>
      </c>
      <c r="Y451" s="452" t="s">
        <v>63</v>
      </c>
      <c r="Z451" s="453">
        <v>10</v>
      </c>
      <c r="AA451" s="453" t="s">
        <v>29</v>
      </c>
      <c r="AB451" s="542" t="s">
        <v>464</v>
      </c>
      <c r="AC451" s="454">
        <v>320</v>
      </c>
      <c r="AD451" s="672">
        <v>4010</v>
      </c>
      <c r="AE451" s="634">
        <v>4010</v>
      </c>
      <c r="AF451" s="645">
        <v>4010</v>
      </c>
      <c r="AG451" s="180"/>
      <c r="AH451" s="180"/>
      <c r="AI451" s="147"/>
    </row>
    <row r="452" spans="1:35" x14ac:dyDescent="0.25">
      <c r="A452" s="491"/>
      <c r="B452" s="493"/>
      <c r="C452" s="494"/>
      <c r="D452" s="494"/>
      <c r="E452" s="495"/>
      <c r="F452" s="495"/>
      <c r="G452" s="496"/>
      <c r="H452" s="496"/>
      <c r="I452" s="496"/>
      <c r="J452" s="496"/>
      <c r="K452" s="496"/>
      <c r="L452" s="492"/>
      <c r="M452" s="496"/>
      <c r="N452" s="492"/>
      <c r="O452" s="496"/>
      <c r="P452" s="496"/>
      <c r="Q452" s="497"/>
      <c r="R452" s="498"/>
      <c r="S452" s="498"/>
      <c r="T452" s="498"/>
      <c r="U452" s="498"/>
      <c r="V452" s="498"/>
      <c r="W452" s="498"/>
      <c r="X452" s="451" t="s">
        <v>31</v>
      </c>
      <c r="Y452" s="452" t="s">
        <v>63</v>
      </c>
      <c r="Z452" s="453">
        <v>10</v>
      </c>
      <c r="AA452" s="453" t="s">
        <v>49</v>
      </c>
      <c r="AB452" s="542"/>
      <c r="AC452" s="454"/>
      <c r="AD452" s="672">
        <f t="shared" ref="AD452:AD457" si="131">AD453</f>
        <v>536.1</v>
      </c>
      <c r="AE452" s="672">
        <f t="shared" ref="AE452:AF457" si="132">AE453</f>
        <v>826</v>
      </c>
      <c r="AF452" s="672">
        <f t="shared" si="132"/>
        <v>826</v>
      </c>
      <c r="AG452" s="506"/>
      <c r="AH452" s="506"/>
      <c r="AI452" s="502"/>
    </row>
    <row r="453" spans="1:35" x14ac:dyDescent="0.25">
      <c r="A453" s="491"/>
      <c r="B453" s="493"/>
      <c r="C453" s="494"/>
      <c r="D453" s="494"/>
      <c r="E453" s="495"/>
      <c r="F453" s="495"/>
      <c r="G453" s="496"/>
      <c r="H453" s="496"/>
      <c r="I453" s="496"/>
      <c r="J453" s="496"/>
      <c r="K453" s="496"/>
      <c r="L453" s="492"/>
      <c r="M453" s="496"/>
      <c r="N453" s="492"/>
      <c r="O453" s="496"/>
      <c r="P453" s="496"/>
      <c r="Q453" s="497"/>
      <c r="R453" s="498"/>
      <c r="S453" s="498"/>
      <c r="T453" s="498"/>
      <c r="U453" s="498"/>
      <c r="V453" s="498"/>
      <c r="W453" s="498"/>
      <c r="X453" s="459" t="s">
        <v>262</v>
      </c>
      <c r="Y453" s="452" t="s">
        <v>63</v>
      </c>
      <c r="Z453" s="453">
        <v>10</v>
      </c>
      <c r="AA453" s="453" t="s">
        <v>49</v>
      </c>
      <c r="AB453" s="541" t="s">
        <v>100</v>
      </c>
      <c r="AC453" s="454"/>
      <c r="AD453" s="672">
        <f t="shared" si="131"/>
        <v>536.1</v>
      </c>
      <c r="AE453" s="672">
        <f t="shared" si="132"/>
        <v>826</v>
      </c>
      <c r="AF453" s="672">
        <f t="shared" si="132"/>
        <v>826</v>
      </c>
      <c r="AG453" s="506"/>
      <c r="AH453" s="506"/>
      <c r="AI453" s="502"/>
    </row>
    <row r="454" spans="1:35" x14ac:dyDescent="0.25">
      <c r="A454" s="491"/>
      <c r="B454" s="493"/>
      <c r="C454" s="494"/>
      <c r="D454" s="494"/>
      <c r="E454" s="495"/>
      <c r="F454" s="495"/>
      <c r="G454" s="496"/>
      <c r="H454" s="496"/>
      <c r="I454" s="496"/>
      <c r="J454" s="496"/>
      <c r="K454" s="496"/>
      <c r="L454" s="492"/>
      <c r="M454" s="496"/>
      <c r="N454" s="492"/>
      <c r="O454" s="496"/>
      <c r="P454" s="496"/>
      <c r="Q454" s="497"/>
      <c r="R454" s="498"/>
      <c r="S454" s="498"/>
      <c r="T454" s="498"/>
      <c r="U454" s="498"/>
      <c r="V454" s="498"/>
      <c r="W454" s="498"/>
      <c r="X454" s="459" t="s">
        <v>516</v>
      </c>
      <c r="Y454" s="452" t="s">
        <v>63</v>
      </c>
      <c r="Z454" s="453">
        <v>10</v>
      </c>
      <c r="AA454" s="453" t="s">
        <v>49</v>
      </c>
      <c r="AB454" s="541" t="s">
        <v>117</v>
      </c>
      <c r="AC454" s="454"/>
      <c r="AD454" s="672">
        <f t="shared" si="131"/>
        <v>536.1</v>
      </c>
      <c r="AE454" s="672">
        <f t="shared" si="132"/>
        <v>826</v>
      </c>
      <c r="AF454" s="672">
        <f t="shared" si="132"/>
        <v>826</v>
      </c>
      <c r="AG454" s="506"/>
      <c r="AH454" s="506"/>
      <c r="AI454" s="502"/>
    </row>
    <row r="455" spans="1:35" ht="31.5" x14ac:dyDescent="0.25">
      <c r="A455" s="491"/>
      <c r="B455" s="493"/>
      <c r="C455" s="494"/>
      <c r="D455" s="494"/>
      <c r="E455" s="495"/>
      <c r="F455" s="495"/>
      <c r="G455" s="496"/>
      <c r="H455" s="496"/>
      <c r="I455" s="496"/>
      <c r="J455" s="496"/>
      <c r="K455" s="496"/>
      <c r="L455" s="492"/>
      <c r="M455" s="496"/>
      <c r="N455" s="492"/>
      <c r="O455" s="496"/>
      <c r="P455" s="496"/>
      <c r="Q455" s="497"/>
      <c r="R455" s="498"/>
      <c r="S455" s="498"/>
      <c r="T455" s="498"/>
      <c r="U455" s="498"/>
      <c r="V455" s="498"/>
      <c r="W455" s="498"/>
      <c r="X455" s="459" t="s">
        <v>266</v>
      </c>
      <c r="Y455" s="452" t="s">
        <v>63</v>
      </c>
      <c r="Z455" s="453">
        <v>10</v>
      </c>
      <c r="AA455" s="453" t="s">
        <v>49</v>
      </c>
      <c r="AB455" s="542" t="s">
        <v>447</v>
      </c>
      <c r="AC455" s="454"/>
      <c r="AD455" s="672">
        <f t="shared" si="131"/>
        <v>536.1</v>
      </c>
      <c r="AE455" s="672">
        <f t="shared" si="132"/>
        <v>826</v>
      </c>
      <c r="AF455" s="672">
        <f t="shared" si="132"/>
        <v>826</v>
      </c>
      <c r="AG455" s="506"/>
      <c r="AH455" s="506"/>
      <c r="AI455" s="502"/>
    </row>
    <row r="456" spans="1:35" ht="47.25" x14ac:dyDescent="0.25">
      <c r="A456" s="491"/>
      <c r="B456" s="493"/>
      <c r="C456" s="494"/>
      <c r="D456" s="494"/>
      <c r="E456" s="495"/>
      <c r="F456" s="495"/>
      <c r="G456" s="496"/>
      <c r="H456" s="496"/>
      <c r="I456" s="496"/>
      <c r="J456" s="496"/>
      <c r="K456" s="496"/>
      <c r="L456" s="492"/>
      <c r="M456" s="496"/>
      <c r="N456" s="492"/>
      <c r="O456" s="496"/>
      <c r="P456" s="496"/>
      <c r="Q456" s="497"/>
      <c r="R456" s="498"/>
      <c r="S456" s="498"/>
      <c r="T456" s="498"/>
      <c r="U456" s="498"/>
      <c r="V456" s="498"/>
      <c r="W456" s="498"/>
      <c r="X456" s="662" t="s">
        <v>263</v>
      </c>
      <c r="Y456" s="452" t="s">
        <v>63</v>
      </c>
      <c r="Z456" s="453">
        <v>10</v>
      </c>
      <c r="AA456" s="453" t="s">
        <v>49</v>
      </c>
      <c r="AB456" s="542" t="s">
        <v>467</v>
      </c>
      <c r="AC456" s="454"/>
      <c r="AD456" s="672">
        <f t="shared" si="131"/>
        <v>536.1</v>
      </c>
      <c r="AE456" s="672">
        <f t="shared" si="132"/>
        <v>826</v>
      </c>
      <c r="AF456" s="672">
        <f t="shared" si="132"/>
        <v>826</v>
      </c>
      <c r="AG456" s="506"/>
      <c r="AH456" s="506"/>
      <c r="AI456" s="502"/>
    </row>
    <row r="457" spans="1:35" ht="47.25" x14ac:dyDescent="0.25">
      <c r="A457" s="491"/>
      <c r="B457" s="493"/>
      <c r="C457" s="494"/>
      <c r="D457" s="494"/>
      <c r="E457" s="495"/>
      <c r="F457" s="495"/>
      <c r="G457" s="496"/>
      <c r="H457" s="496"/>
      <c r="I457" s="496"/>
      <c r="J457" s="496"/>
      <c r="K457" s="496"/>
      <c r="L457" s="492"/>
      <c r="M457" s="496"/>
      <c r="N457" s="492"/>
      <c r="O457" s="496"/>
      <c r="P457" s="496"/>
      <c r="Q457" s="497"/>
      <c r="R457" s="498"/>
      <c r="S457" s="498"/>
      <c r="T457" s="498"/>
      <c r="U457" s="498"/>
      <c r="V457" s="498"/>
      <c r="W457" s="498"/>
      <c r="X457" s="451" t="s">
        <v>41</v>
      </c>
      <c r="Y457" s="452" t="s">
        <v>63</v>
      </c>
      <c r="Z457" s="453">
        <v>10</v>
      </c>
      <c r="AA457" s="453" t="s">
        <v>49</v>
      </c>
      <c r="AB457" s="542" t="s">
        <v>467</v>
      </c>
      <c r="AC457" s="454">
        <v>100</v>
      </c>
      <c r="AD457" s="672">
        <f t="shared" si="131"/>
        <v>536.1</v>
      </c>
      <c r="AE457" s="672">
        <f t="shared" si="132"/>
        <v>826</v>
      </c>
      <c r="AF457" s="672">
        <f t="shared" si="132"/>
        <v>826</v>
      </c>
      <c r="AG457" s="506"/>
      <c r="AH457" s="506"/>
      <c r="AI457" s="502"/>
    </row>
    <row r="458" spans="1:35" x14ac:dyDescent="0.25">
      <c r="A458" s="491"/>
      <c r="B458" s="493"/>
      <c r="C458" s="494"/>
      <c r="D458" s="494"/>
      <c r="E458" s="495"/>
      <c r="F458" s="495"/>
      <c r="G458" s="496"/>
      <c r="H458" s="496"/>
      <c r="I458" s="496"/>
      <c r="J458" s="496"/>
      <c r="K458" s="496"/>
      <c r="L458" s="492"/>
      <c r="M458" s="496"/>
      <c r="N458" s="492"/>
      <c r="O458" s="496"/>
      <c r="P458" s="496"/>
      <c r="Q458" s="497"/>
      <c r="R458" s="498"/>
      <c r="S458" s="498"/>
      <c r="T458" s="498"/>
      <c r="U458" s="498"/>
      <c r="V458" s="498"/>
      <c r="W458" s="498"/>
      <c r="X458" s="451" t="s">
        <v>68</v>
      </c>
      <c r="Y458" s="452" t="s">
        <v>63</v>
      </c>
      <c r="Z458" s="453">
        <v>10</v>
      </c>
      <c r="AA458" s="453" t="s">
        <v>49</v>
      </c>
      <c r="AB458" s="542" t="s">
        <v>467</v>
      </c>
      <c r="AC458" s="454">
        <v>110</v>
      </c>
      <c r="AD458" s="672">
        <v>536.1</v>
      </c>
      <c r="AE458" s="634">
        <v>826</v>
      </c>
      <c r="AF458" s="645">
        <v>826</v>
      </c>
      <c r="AG458" s="506"/>
      <c r="AH458" s="506"/>
      <c r="AI458" s="502"/>
    </row>
    <row r="459" spans="1:35" x14ac:dyDescent="0.25">
      <c r="A459" s="47"/>
      <c r="B459" s="78"/>
      <c r="C459" s="79"/>
      <c r="D459" s="79"/>
      <c r="E459" s="80"/>
      <c r="F459" s="80"/>
      <c r="G459" s="81"/>
      <c r="H459" s="81"/>
      <c r="I459" s="81"/>
      <c r="J459" s="81"/>
      <c r="K459" s="81"/>
      <c r="L459" s="73"/>
      <c r="M459" s="81"/>
      <c r="N459" s="73"/>
      <c r="O459" s="81"/>
      <c r="P459" s="81"/>
      <c r="Q459" s="83"/>
      <c r="R459" s="87"/>
      <c r="S459" s="87"/>
      <c r="T459" s="87"/>
      <c r="U459" s="87"/>
      <c r="V459" s="87"/>
      <c r="W459" s="87"/>
      <c r="X459" s="451" t="s">
        <v>58</v>
      </c>
      <c r="Y459" s="452" t="s">
        <v>63</v>
      </c>
      <c r="Z459" s="453">
        <v>10</v>
      </c>
      <c r="AA459" s="453" t="s">
        <v>7</v>
      </c>
      <c r="AB459" s="541"/>
      <c r="AC459" s="454"/>
      <c r="AD459" s="672">
        <f>AD460</f>
        <v>331</v>
      </c>
      <c r="AE459" s="634">
        <f t="shared" ref="AE459:AF462" si="133">AE460</f>
        <v>0</v>
      </c>
      <c r="AF459" s="645">
        <f t="shared" si="133"/>
        <v>0</v>
      </c>
      <c r="AG459" s="180"/>
      <c r="AH459" s="180"/>
      <c r="AI459" s="147"/>
    </row>
    <row r="460" spans="1:35" x14ac:dyDescent="0.25">
      <c r="A460" s="47"/>
      <c r="B460" s="78"/>
      <c r="C460" s="79"/>
      <c r="D460" s="79"/>
      <c r="E460" s="80"/>
      <c r="F460" s="80"/>
      <c r="G460" s="81"/>
      <c r="H460" s="81"/>
      <c r="I460" s="81"/>
      <c r="J460" s="81"/>
      <c r="K460" s="81"/>
      <c r="L460" s="73"/>
      <c r="M460" s="81"/>
      <c r="N460" s="73"/>
      <c r="O460" s="81"/>
      <c r="P460" s="81"/>
      <c r="Q460" s="83"/>
      <c r="R460" s="87"/>
      <c r="S460" s="87"/>
      <c r="T460" s="87"/>
      <c r="U460" s="87"/>
      <c r="V460" s="87"/>
      <c r="W460" s="87"/>
      <c r="X460" s="451" t="s">
        <v>332</v>
      </c>
      <c r="Y460" s="452" t="s">
        <v>63</v>
      </c>
      <c r="Z460" s="453">
        <v>10</v>
      </c>
      <c r="AA460" s="453" t="s">
        <v>7</v>
      </c>
      <c r="AB460" s="546" t="s">
        <v>137</v>
      </c>
      <c r="AC460" s="570"/>
      <c r="AD460" s="672">
        <f>AD461</f>
        <v>331</v>
      </c>
      <c r="AE460" s="634">
        <f t="shared" si="133"/>
        <v>0</v>
      </c>
      <c r="AF460" s="645">
        <f t="shared" si="133"/>
        <v>0</v>
      </c>
      <c r="AG460" s="180"/>
      <c r="AH460" s="180"/>
      <c r="AI460" s="147"/>
    </row>
    <row r="461" spans="1:35" x14ac:dyDescent="0.25">
      <c r="A461" s="47"/>
      <c r="B461" s="78"/>
      <c r="C461" s="79"/>
      <c r="D461" s="79"/>
      <c r="E461" s="80"/>
      <c r="F461" s="80"/>
      <c r="G461" s="81"/>
      <c r="H461" s="81"/>
      <c r="I461" s="81"/>
      <c r="J461" s="81"/>
      <c r="K461" s="81"/>
      <c r="L461" s="73"/>
      <c r="M461" s="81"/>
      <c r="N461" s="73"/>
      <c r="O461" s="81"/>
      <c r="P461" s="81"/>
      <c r="Q461" s="83"/>
      <c r="R461" s="87"/>
      <c r="S461" s="87"/>
      <c r="T461" s="87"/>
      <c r="U461" s="87"/>
      <c r="V461" s="87"/>
      <c r="W461" s="87"/>
      <c r="X461" s="465" t="s">
        <v>613</v>
      </c>
      <c r="Y461" s="452" t="s">
        <v>63</v>
      </c>
      <c r="Z461" s="453">
        <v>10</v>
      </c>
      <c r="AA461" s="453" t="s">
        <v>7</v>
      </c>
      <c r="AB461" s="542" t="s">
        <v>612</v>
      </c>
      <c r="AC461" s="570"/>
      <c r="AD461" s="672">
        <f>AD462</f>
        <v>331</v>
      </c>
      <c r="AE461" s="634">
        <f t="shared" si="133"/>
        <v>0</v>
      </c>
      <c r="AF461" s="645">
        <f t="shared" si="133"/>
        <v>0</v>
      </c>
      <c r="AG461" s="180"/>
      <c r="AH461" s="180"/>
      <c r="AI461" s="147"/>
    </row>
    <row r="462" spans="1:35" x14ac:dyDescent="0.25">
      <c r="A462" s="47"/>
      <c r="B462" s="78"/>
      <c r="C462" s="79"/>
      <c r="D462" s="79"/>
      <c r="E462" s="80"/>
      <c r="F462" s="80"/>
      <c r="G462" s="81"/>
      <c r="H462" s="81"/>
      <c r="I462" s="81"/>
      <c r="J462" s="81"/>
      <c r="K462" s="81"/>
      <c r="L462" s="73"/>
      <c r="M462" s="81"/>
      <c r="N462" s="73"/>
      <c r="O462" s="81"/>
      <c r="P462" s="81"/>
      <c r="Q462" s="83"/>
      <c r="R462" s="87"/>
      <c r="S462" s="87"/>
      <c r="T462" s="87"/>
      <c r="U462" s="87"/>
      <c r="V462" s="87"/>
      <c r="W462" s="87"/>
      <c r="X462" s="451" t="s">
        <v>97</v>
      </c>
      <c r="Y462" s="452" t="s">
        <v>63</v>
      </c>
      <c r="Z462" s="453">
        <v>10</v>
      </c>
      <c r="AA462" s="453" t="s">
        <v>7</v>
      </c>
      <c r="AB462" s="542" t="s">
        <v>612</v>
      </c>
      <c r="AC462" s="454">
        <v>300</v>
      </c>
      <c r="AD462" s="672">
        <f>AD463</f>
        <v>331</v>
      </c>
      <c r="AE462" s="634">
        <f t="shared" si="133"/>
        <v>0</v>
      </c>
      <c r="AF462" s="645">
        <f t="shared" si="133"/>
        <v>0</v>
      </c>
      <c r="AG462" s="180"/>
      <c r="AH462" s="180"/>
      <c r="AI462" s="147"/>
    </row>
    <row r="463" spans="1:35" x14ac:dyDescent="0.25">
      <c r="A463" s="47"/>
      <c r="B463" s="78"/>
      <c r="C463" s="79"/>
      <c r="D463" s="79"/>
      <c r="E463" s="80"/>
      <c r="F463" s="80"/>
      <c r="G463" s="81"/>
      <c r="H463" s="81"/>
      <c r="I463" s="81"/>
      <c r="J463" s="81"/>
      <c r="K463" s="81"/>
      <c r="L463" s="73"/>
      <c r="M463" s="81"/>
      <c r="N463" s="73"/>
      <c r="O463" s="81"/>
      <c r="P463" s="81"/>
      <c r="Q463" s="83"/>
      <c r="R463" s="87"/>
      <c r="S463" s="87"/>
      <c r="T463" s="87"/>
      <c r="U463" s="87"/>
      <c r="V463" s="87"/>
      <c r="W463" s="87"/>
      <c r="X463" s="375" t="s">
        <v>131</v>
      </c>
      <c r="Y463" s="452" t="s">
        <v>63</v>
      </c>
      <c r="Z463" s="453">
        <v>10</v>
      </c>
      <c r="AA463" s="453" t="s">
        <v>7</v>
      </c>
      <c r="AB463" s="542" t="s">
        <v>612</v>
      </c>
      <c r="AC463" s="454">
        <v>310</v>
      </c>
      <c r="AD463" s="672">
        <v>331</v>
      </c>
      <c r="AE463" s="634">
        <v>0</v>
      </c>
      <c r="AF463" s="645">
        <v>0</v>
      </c>
      <c r="AG463" s="180"/>
      <c r="AH463" s="180"/>
      <c r="AI463" s="147"/>
    </row>
    <row r="464" spans="1:35" x14ac:dyDescent="0.25">
      <c r="A464" s="88"/>
      <c r="B464" s="78"/>
      <c r="C464" s="79"/>
      <c r="D464" s="79"/>
      <c r="E464" s="80"/>
      <c r="F464" s="80"/>
      <c r="G464" s="81"/>
      <c r="H464" s="81"/>
      <c r="I464" s="81"/>
      <c r="J464" s="81"/>
      <c r="K464" s="81"/>
      <c r="L464" s="73"/>
      <c r="M464" s="81"/>
      <c r="N464" s="73"/>
      <c r="O464" s="92"/>
      <c r="P464" s="81"/>
      <c r="Q464" s="83"/>
      <c r="R464" s="126"/>
      <c r="S464" s="83"/>
      <c r="T464" s="83"/>
      <c r="U464" s="83"/>
      <c r="V464" s="83"/>
      <c r="W464" s="83"/>
      <c r="X464" s="451" t="s">
        <v>33</v>
      </c>
      <c r="Y464" s="452" t="s">
        <v>63</v>
      </c>
      <c r="Z464" s="453">
        <v>10</v>
      </c>
      <c r="AA464" s="453" t="s">
        <v>95</v>
      </c>
      <c r="AB464" s="541"/>
      <c r="AC464" s="482"/>
      <c r="AD464" s="672">
        <f t="shared" ref="AD464:AF465" si="134">AD465</f>
        <v>140</v>
      </c>
      <c r="AE464" s="634">
        <f t="shared" si="134"/>
        <v>140</v>
      </c>
      <c r="AF464" s="645">
        <f t="shared" si="134"/>
        <v>140</v>
      </c>
      <c r="AG464" s="180"/>
      <c r="AH464" s="180"/>
      <c r="AI464" s="147"/>
    </row>
    <row r="465" spans="1:35" x14ac:dyDescent="0.25">
      <c r="A465" s="47"/>
      <c r="B465" s="78"/>
      <c r="C465" s="79"/>
      <c r="D465" s="79"/>
      <c r="E465" s="80"/>
      <c r="F465" s="80"/>
      <c r="G465" s="81"/>
      <c r="H465" s="81"/>
      <c r="I465" s="81"/>
      <c r="J465" s="81"/>
      <c r="K465" s="81"/>
      <c r="L465" s="81"/>
      <c r="M465" s="81"/>
      <c r="N465" s="81"/>
      <c r="O465" s="92"/>
      <c r="P465" s="81"/>
      <c r="Q465" s="83"/>
      <c r="R465" s="126"/>
      <c r="S465" s="83"/>
      <c r="T465" s="83"/>
      <c r="U465" s="83"/>
      <c r="V465" s="83"/>
      <c r="W465" s="83"/>
      <c r="X465" s="457" t="s">
        <v>292</v>
      </c>
      <c r="Y465" s="452" t="s">
        <v>63</v>
      </c>
      <c r="Z465" s="453">
        <v>10</v>
      </c>
      <c r="AA465" s="453" t="s">
        <v>95</v>
      </c>
      <c r="AB465" s="542" t="s">
        <v>109</v>
      </c>
      <c r="AC465" s="482"/>
      <c r="AD465" s="672">
        <f>AD466</f>
        <v>140</v>
      </c>
      <c r="AE465" s="634">
        <f t="shared" si="134"/>
        <v>140</v>
      </c>
      <c r="AF465" s="645">
        <f t="shared" si="134"/>
        <v>140</v>
      </c>
      <c r="AG465" s="180"/>
      <c r="AH465" s="180"/>
      <c r="AI465" s="147"/>
    </row>
    <row r="466" spans="1:35" ht="31.5" x14ac:dyDescent="0.25">
      <c r="A466" s="47"/>
      <c r="B466" s="78"/>
      <c r="C466" s="79"/>
      <c r="D466" s="79"/>
      <c r="E466" s="80"/>
      <c r="F466" s="80"/>
      <c r="G466" s="81"/>
      <c r="H466" s="81"/>
      <c r="I466" s="81"/>
      <c r="J466" s="81"/>
      <c r="K466" s="81"/>
      <c r="L466" s="81"/>
      <c r="M466" s="81"/>
      <c r="N466" s="81"/>
      <c r="O466" s="92"/>
      <c r="P466" s="81"/>
      <c r="Q466" s="83"/>
      <c r="R466" s="126"/>
      <c r="S466" s="83"/>
      <c r="T466" s="83"/>
      <c r="U466" s="83"/>
      <c r="V466" s="83"/>
      <c r="W466" s="83"/>
      <c r="X466" s="457" t="s">
        <v>343</v>
      </c>
      <c r="Y466" s="452" t="s">
        <v>63</v>
      </c>
      <c r="Z466" s="453">
        <v>10</v>
      </c>
      <c r="AA466" s="453" t="s">
        <v>95</v>
      </c>
      <c r="AB466" s="542" t="s">
        <v>521</v>
      </c>
      <c r="AC466" s="482"/>
      <c r="AD466" s="672">
        <f>AD467</f>
        <v>140</v>
      </c>
      <c r="AE466" s="634">
        <f>AE467</f>
        <v>140</v>
      </c>
      <c r="AF466" s="645">
        <f>AF467</f>
        <v>140</v>
      </c>
      <c r="AG466" s="180"/>
      <c r="AH466" s="180"/>
      <c r="AI466" s="147"/>
    </row>
    <row r="467" spans="1:35" x14ac:dyDescent="0.25">
      <c r="A467" s="47"/>
      <c r="B467" s="78"/>
      <c r="C467" s="79"/>
      <c r="D467" s="79"/>
      <c r="E467" s="80"/>
      <c r="F467" s="80"/>
      <c r="G467" s="81"/>
      <c r="H467" s="81"/>
      <c r="I467" s="81"/>
      <c r="J467" s="81"/>
      <c r="K467" s="81"/>
      <c r="L467" s="81"/>
      <c r="M467" s="81"/>
      <c r="N467" s="81"/>
      <c r="O467" s="92"/>
      <c r="P467" s="81"/>
      <c r="Q467" s="83"/>
      <c r="R467" s="126"/>
      <c r="S467" s="83"/>
      <c r="T467" s="83"/>
      <c r="U467" s="83"/>
      <c r="V467" s="83"/>
      <c r="W467" s="83"/>
      <c r="X467" s="664" t="s">
        <v>523</v>
      </c>
      <c r="Y467" s="452" t="s">
        <v>63</v>
      </c>
      <c r="Z467" s="453">
        <v>10</v>
      </c>
      <c r="AA467" s="453" t="s">
        <v>95</v>
      </c>
      <c r="AB467" s="542" t="s">
        <v>522</v>
      </c>
      <c r="AC467" s="482"/>
      <c r="AD467" s="672">
        <f>AD471+AD468</f>
        <v>140</v>
      </c>
      <c r="AE467" s="634">
        <f>AE471+AE468</f>
        <v>140</v>
      </c>
      <c r="AF467" s="645">
        <f>AF471+AF468</f>
        <v>140</v>
      </c>
      <c r="AG467" s="180"/>
      <c r="AH467" s="180"/>
      <c r="AI467" s="147"/>
    </row>
    <row r="468" spans="1:35" x14ac:dyDescent="0.25">
      <c r="A468" s="47"/>
      <c r="B468" s="78"/>
      <c r="C468" s="79"/>
      <c r="D468" s="79"/>
      <c r="E468" s="80"/>
      <c r="F468" s="80"/>
      <c r="G468" s="81"/>
      <c r="H468" s="81"/>
      <c r="I468" s="81"/>
      <c r="J468" s="81"/>
      <c r="K468" s="81"/>
      <c r="L468" s="81"/>
      <c r="M468" s="81"/>
      <c r="N468" s="81"/>
      <c r="O468" s="92"/>
      <c r="P468" s="81"/>
      <c r="Q468" s="83"/>
      <c r="R468" s="126"/>
      <c r="S468" s="83"/>
      <c r="T468" s="83"/>
      <c r="U468" s="83"/>
      <c r="V468" s="83"/>
      <c r="W468" s="83"/>
      <c r="X468" s="662" t="s">
        <v>594</v>
      </c>
      <c r="Y468" s="452" t="s">
        <v>63</v>
      </c>
      <c r="Z468" s="453">
        <v>10</v>
      </c>
      <c r="AA468" s="453" t="s">
        <v>95</v>
      </c>
      <c r="AB468" s="542" t="s">
        <v>595</v>
      </c>
      <c r="AC468" s="573"/>
      <c r="AD468" s="676">
        <f t="shared" ref="AD468:AF469" si="135">AD469</f>
        <v>70</v>
      </c>
      <c r="AE468" s="638">
        <f t="shared" si="135"/>
        <v>70</v>
      </c>
      <c r="AF468" s="649">
        <f t="shared" si="135"/>
        <v>70</v>
      </c>
      <c r="AG468" s="180"/>
      <c r="AH468" s="180"/>
      <c r="AI468" s="147"/>
    </row>
    <row r="469" spans="1:35" ht="31.5" x14ac:dyDescent="0.25">
      <c r="A469" s="47"/>
      <c r="B469" s="78"/>
      <c r="C469" s="79"/>
      <c r="D469" s="79"/>
      <c r="E469" s="80"/>
      <c r="F469" s="80"/>
      <c r="G469" s="81"/>
      <c r="H469" s="81"/>
      <c r="I469" s="81"/>
      <c r="J469" s="81"/>
      <c r="K469" s="81"/>
      <c r="L469" s="81"/>
      <c r="M469" s="81"/>
      <c r="N469" s="81"/>
      <c r="O469" s="92"/>
      <c r="P469" s="81"/>
      <c r="Q469" s="83"/>
      <c r="R469" s="126"/>
      <c r="S469" s="83"/>
      <c r="T469" s="83"/>
      <c r="U469" s="83"/>
      <c r="V469" s="83"/>
      <c r="W469" s="83"/>
      <c r="X469" s="654" t="s">
        <v>60</v>
      </c>
      <c r="Y469" s="452" t="s">
        <v>63</v>
      </c>
      <c r="Z469" s="453">
        <v>10</v>
      </c>
      <c r="AA469" s="453" t="s">
        <v>95</v>
      </c>
      <c r="AB469" s="542" t="s">
        <v>595</v>
      </c>
      <c r="AC469" s="573">
        <v>600</v>
      </c>
      <c r="AD469" s="676">
        <f t="shared" si="135"/>
        <v>70</v>
      </c>
      <c r="AE469" s="638">
        <f t="shared" si="135"/>
        <v>70</v>
      </c>
      <c r="AF469" s="649">
        <f t="shared" si="135"/>
        <v>70</v>
      </c>
      <c r="AG469" s="180"/>
      <c r="AH469" s="180"/>
      <c r="AI469" s="147"/>
    </row>
    <row r="470" spans="1:35" ht="47.25" x14ac:dyDescent="0.25">
      <c r="A470" s="47"/>
      <c r="B470" s="78"/>
      <c r="C470" s="79"/>
      <c r="D470" s="79"/>
      <c r="E470" s="80"/>
      <c r="F470" s="80"/>
      <c r="G470" s="81"/>
      <c r="H470" s="81"/>
      <c r="I470" s="81"/>
      <c r="J470" s="81"/>
      <c r="K470" s="81"/>
      <c r="L470" s="81"/>
      <c r="M470" s="81"/>
      <c r="N470" s="81"/>
      <c r="O470" s="92"/>
      <c r="P470" s="81"/>
      <c r="Q470" s="83"/>
      <c r="R470" s="126"/>
      <c r="S470" s="83"/>
      <c r="T470" s="83"/>
      <c r="U470" s="83"/>
      <c r="V470" s="83"/>
      <c r="W470" s="83"/>
      <c r="X470" s="666" t="s">
        <v>408</v>
      </c>
      <c r="Y470" s="452" t="s">
        <v>63</v>
      </c>
      <c r="Z470" s="453">
        <v>10</v>
      </c>
      <c r="AA470" s="453" t="s">
        <v>95</v>
      </c>
      <c r="AB470" s="542" t="s">
        <v>595</v>
      </c>
      <c r="AC470" s="573">
        <v>630</v>
      </c>
      <c r="AD470" s="676">
        <v>70</v>
      </c>
      <c r="AE470" s="638">
        <v>70</v>
      </c>
      <c r="AF470" s="649">
        <v>70</v>
      </c>
      <c r="AG470" s="180"/>
      <c r="AH470" s="180"/>
      <c r="AI470" s="147"/>
    </row>
    <row r="471" spans="1:35" ht="31.5" x14ac:dyDescent="0.25">
      <c r="A471" s="47"/>
      <c r="B471" s="78"/>
      <c r="C471" s="79"/>
      <c r="D471" s="79"/>
      <c r="E471" s="80"/>
      <c r="F471" s="80"/>
      <c r="G471" s="81"/>
      <c r="H471" s="81"/>
      <c r="I471" s="81"/>
      <c r="J471" s="81"/>
      <c r="K471" s="81"/>
      <c r="L471" s="81"/>
      <c r="M471" s="81"/>
      <c r="N471" s="81"/>
      <c r="O471" s="92"/>
      <c r="P471" s="81"/>
      <c r="Q471" s="83"/>
      <c r="R471" s="126"/>
      <c r="S471" s="83"/>
      <c r="T471" s="83"/>
      <c r="U471" s="83"/>
      <c r="V471" s="83"/>
      <c r="W471" s="83"/>
      <c r="X471" s="662" t="s">
        <v>575</v>
      </c>
      <c r="Y471" s="452" t="s">
        <v>63</v>
      </c>
      <c r="Z471" s="453">
        <v>10</v>
      </c>
      <c r="AA471" s="453" t="s">
        <v>95</v>
      </c>
      <c r="AB471" s="542" t="s">
        <v>576</v>
      </c>
      <c r="AC471" s="573"/>
      <c r="AD471" s="676">
        <f t="shared" ref="AD471:AF472" si="136">AD472</f>
        <v>70</v>
      </c>
      <c r="AE471" s="638">
        <f t="shared" si="136"/>
        <v>70</v>
      </c>
      <c r="AF471" s="649">
        <f t="shared" si="136"/>
        <v>70</v>
      </c>
      <c r="AG471" s="84"/>
      <c r="AH471" s="84"/>
      <c r="AI471" s="147"/>
    </row>
    <row r="472" spans="1:35" ht="31.5" x14ac:dyDescent="0.25">
      <c r="A472" s="47"/>
      <c r="B472" s="78"/>
      <c r="C472" s="79"/>
      <c r="D472" s="79"/>
      <c r="E472" s="80"/>
      <c r="F472" s="80"/>
      <c r="G472" s="81"/>
      <c r="H472" s="81"/>
      <c r="I472" s="81"/>
      <c r="J472" s="81"/>
      <c r="K472" s="81"/>
      <c r="L472" s="81"/>
      <c r="M472" s="81"/>
      <c r="N472" s="81"/>
      <c r="O472" s="92"/>
      <c r="P472" s="81"/>
      <c r="Q472" s="83"/>
      <c r="R472" s="126"/>
      <c r="S472" s="83"/>
      <c r="T472" s="83"/>
      <c r="U472" s="83"/>
      <c r="V472" s="83"/>
      <c r="W472" s="83"/>
      <c r="X472" s="654" t="s">
        <v>60</v>
      </c>
      <c r="Y472" s="452" t="s">
        <v>63</v>
      </c>
      <c r="Z472" s="453">
        <v>10</v>
      </c>
      <c r="AA472" s="453" t="s">
        <v>95</v>
      </c>
      <c r="AB472" s="542" t="s">
        <v>576</v>
      </c>
      <c r="AC472" s="573">
        <v>600</v>
      </c>
      <c r="AD472" s="676">
        <f t="shared" si="136"/>
        <v>70</v>
      </c>
      <c r="AE472" s="638">
        <f t="shared" si="136"/>
        <v>70</v>
      </c>
      <c r="AF472" s="649">
        <f t="shared" si="136"/>
        <v>70</v>
      </c>
      <c r="AG472" s="84"/>
      <c r="AH472" s="84"/>
      <c r="AI472" s="147"/>
    </row>
    <row r="473" spans="1:35" ht="35.25" customHeight="1" x14ac:dyDescent="0.25">
      <c r="A473" s="47"/>
      <c r="B473" s="78"/>
      <c r="C473" s="79"/>
      <c r="D473" s="79"/>
      <c r="E473" s="80"/>
      <c r="F473" s="80"/>
      <c r="G473" s="81"/>
      <c r="H473" s="81"/>
      <c r="I473" s="81"/>
      <c r="J473" s="81"/>
      <c r="K473" s="81"/>
      <c r="L473" s="81"/>
      <c r="M473" s="81"/>
      <c r="N473" s="81"/>
      <c r="O473" s="92"/>
      <c r="P473" s="81"/>
      <c r="Q473" s="83"/>
      <c r="R473" s="126"/>
      <c r="S473" s="83"/>
      <c r="T473" s="83"/>
      <c r="U473" s="83"/>
      <c r="V473" s="83"/>
      <c r="W473" s="83"/>
      <c r="X473" s="654" t="s">
        <v>408</v>
      </c>
      <c r="Y473" s="452" t="s">
        <v>63</v>
      </c>
      <c r="Z473" s="453">
        <v>10</v>
      </c>
      <c r="AA473" s="453" t="s">
        <v>95</v>
      </c>
      <c r="AB473" s="542" t="s">
        <v>576</v>
      </c>
      <c r="AC473" s="573">
        <v>630</v>
      </c>
      <c r="AD473" s="676">
        <v>70</v>
      </c>
      <c r="AE473" s="638">
        <v>70</v>
      </c>
      <c r="AF473" s="649">
        <v>70</v>
      </c>
      <c r="AG473" s="84"/>
      <c r="AH473" s="84"/>
      <c r="AI473" s="147"/>
    </row>
    <row r="474" spans="1:35" s="96" customFormat="1" x14ac:dyDescent="0.25">
      <c r="A474" s="68"/>
      <c r="B474" s="69"/>
      <c r="C474" s="69"/>
      <c r="D474" s="71"/>
      <c r="E474" s="72"/>
      <c r="F474" s="72"/>
      <c r="G474" s="73"/>
      <c r="H474" s="73"/>
      <c r="I474" s="73"/>
      <c r="J474" s="73"/>
      <c r="K474" s="73"/>
      <c r="L474" s="73"/>
      <c r="M474" s="73"/>
      <c r="N474" s="73"/>
      <c r="O474" s="74"/>
      <c r="P474" s="73"/>
      <c r="Q474" s="75"/>
      <c r="R474" s="95"/>
      <c r="S474" s="95"/>
      <c r="T474" s="95"/>
      <c r="U474" s="95"/>
      <c r="V474" s="95"/>
      <c r="W474" s="95"/>
      <c r="X474" s="653" t="s">
        <v>13</v>
      </c>
      <c r="Y474" s="448" t="s">
        <v>63</v>
      </c>
      <c r="Z474" s="480">
        <v>11</v>
      </c>
      <c r="AA474" s="471"/>
      <c r="AB474" s="539"/>
      <c r="AC474" s="476"/>
      <c r="AD474" s="671">
        <f>AD475+AD485</f>
        <v>130985.60000000001</v>
      </c>
      <c r="AE474" s="633">
        <f>AE475+AE485</f>
        <v>124375.9</v>
      </c>
      <c r="AF474" s="644">
        <f>AF475+AF485</f>
        <v>127463.3</v>
      </c>
      <c r="AG474" s="205"/>
      <c r="AH474" s="205"/>
      <c r="AI474" s="147"/>
    </row>
    <row r="475" spans="1:35" s="96" customFormat="1" x14ac:dyDescent="0.25">
      <c r="A475" s="68"/>
      <c r="B475" s="69"/>
      <c r="C475" s="69"/>
      <c r="D475" s="71"/>
      <c r="E475" s="72"/>
      <c r="F475" s="72"/>
      <c r="G475" s="73"/>
      <c r="H475" s="73"/>
      <c r="I475" s="73"/>
      <c r="J475" s="73"/>
      <c r="K475" s="73"/>
      <c r="L475" s="73"/>
      <c r="M475" s="73"/>
      <c r="N475" s="73"/>
      <c r="O475" s="74"/>
      <c r="P475" s="73"/>
      <c r="Q475" s="75"/>
      <c r="R475" s="95"/>
      <c r="S475" s="95"/>
      <c r="T475" s="95"/>
      <c r="U475" s="95"/>
      <c r="V475" s="95"/>
      <c r="W475" s="95"/>
      <c r="X475" s="451" t="s">
        <v>35</v>
      </c>
      <c r="Y475" s="452" t="s">
        <v>63</v>
      </c>
      <c r="Z475" s="453">
        <v>11</v>
      </c>
      <c r="AA475" s="453" t="s">
        <v>30</v>
      </c>
      <c r="AB475" s="542"/>
      <c r="AC475" s="570"/>
      <c r="AD475" s="677">
        <f t="shared" ref="AD475:AF476" si="137">AD476</f>
        <v>5319.5</v>
      </c>
      <c r="AE475" s="639">
        <f t="shared" si="137"/>
        <v>3632.9</v>
      </c>
      <c r="AF475" s="650">
        <f t="shared" si="137"/>
        <v>5239.3</v>
      </c>
      <c r="AG475" s="180"/>
      <c r="AH475" s="180"/>
      <c r="AI475" s="147"/>
    </row>
    <row r="476" spans="1:35" s="96" customFormat="1" x14ac:dyDescent="0.25">
      <c r="A476" s="68"/>
      <c r="B476" s="69"/>
      <c r="C476" s="69"/>
      <c r="D476" s="71"/>
      <c r="E476" s="72"/>
      <c r="F476" s="72"/>
      <c r="G476" s="73"/>
      <c r="H476" s="73"/>
      <c r="I476" s="73"/>
      <c r="J476" s="73"/>
      <c r="K476" s="73"/>
      <c r="L476" s="73"/>
      <c r="M476" s="73"/>
      <c r="N476" s="73"/>
      <c r="O476" s="74"/>
      <c r="P476" s="73"/>
      <c r="Q476" s="75"/>
      <c r="R476" s="95"/>
      <c r="S476" s="95"/>
      <c r="T476" s="95"/>
      <c r="U476" s="95"/>
      <c r="V476" s="95"/>
      <c r="W476" s="95"/>
      <c r="X476" s="459" t="s">
        <v>157</v>
      </c>
      <c r="Y476" s="467" t="s">
        <v>63</v>
      </c>
      <c r="Z476" s="453">
        <v>11</v>
      </c>
      <c r="AA476" s="453" t="s">
        <v>30</v>
      </c>
      <c r="AB476" s="542" t="s">
        <v>115</v>
      </c>
      <c r="AC476" s="570"/>
      <c r="AD476" s="677">
        <f t="shared" si="137"/>
        <v>5319.5</v>
      </c>
      <c r="AE476" s="639">
        <f t="shared" si="137"/>
        <v>3632.9</v>
      </c>
      <c r="AF476" s="650">
        <f t="shared" si="137"/>
        <v>5239.3</v>
      </c>
      <c r="AG476" s="180"/>
      <c r="AH476" s="180"/>
      <c r="AI476" s="147"/>
    </row>
    <row r="477" spans="1:35" s="96" customFormat="1" x14ac:dyDescent="0.25">
      <c r="A477" s="68"/>
      <c r="B477" s="69"/>
      <c r="C477" s="69"/>
      <c r="D477" s="71"/>
      <c r="E477" s="72"/>
      <c r="F477" s="72"/>
      <c r="G477" s="73"/>
      <c r="H477" s="73"/>
      <c r="I477" s="73"/>
      <c r="J477" s="73"/>
      <c r="K477" s="73"/>
      <c r="L477" s="73"/>
      <c r="M477" s="73"/>
      <c r="N477" s="73"/>
      <c r="O477" s="74"/>
      <c r="P477" s="73"/>
      <c r="Q477" s="75"/>
      <c r="R477" s="95"/>
      <c r="S477" s="95"/>
      <c r="T477" s="95"/>
      <c r="U477" s="95"/>
      <c r="V477" s="95"/>
      <c r="W477" s="95"/>
      <c r="X477" s="459" t="s">
        <v>158</v>
      </c>
      <c r="Y477" s="467" t="s">
        <v>63</v>
      </c>
      <c r="Z477" s="453">
        <v>11</v>
      </c>
      <c r="AA477" s="453" t="s">
        <v>30</v>
      </c>
      <c r="AB477" s="542" t="s">
        <v>119</v>
      </c>
      <c r="AC477" s="570"/>
      <c r="AD477" s="677">
        <f t="shared" ref="AD477:AF478" si="138">AD478</f>
        <v>5319.5</v>
      </c>
      <c r="AE477" s="639">
        <f t="shared" si="138"/>
        <v>3632.9</v>
      </c>
      <c r="AF477" s="650">
        <f t="shared" si="138"/>
        <v>5239.3</v>
      </c>
      <c r="AG477" s="180"/>
      <c r="AH477" s="180"/>
      <c r="AI477" s="147"/>
    </row>
    <row r="478" spans="1:35" s="96" customFormat="1" ht="31.5" x14ac:dyDescent="0.25">
      <c r="A478" s="68"/>
      <c r="B478" s="69"/>
      <c r="C478" s="69"/>
      <c r="D478" s="71"/>
      <c r="E478" s="72"/>
      <c r="F478" s="72"/>
      <c r="G478" s="73"/>
      <c r="H478" s="73"/>
      <c r="I478" s="73"/>
      <c r="J478" s="73"/>
      <c r="K478" s="73"/>
      <c r="L478" s="73"/>
      <c r="M478" s="73"/>
      <c r="N478" s="73"/>
      <c r="O478" s="74"/>
      <c r="P478" s="73"/>
      <c r="Q478" s="75"/>
      <c r="R478" s="95"/>
      <c r="S478" s="95"/>
      <c r="T478" s="95"/>
      <c r="U478" s="95"/>
      <c r="V478" s="95"/>
      <c r="W478" s="95"/>
      <c r="X478" s="459" t="s">
        <v>752</v>
      </c>
      <c r="Y478" s="467" t="s">
        <v>63</v>
      </c>
      <c r="Z478" s="453">
        <v>11</v>
      </c>
      <c r="AA478" s="453" t="s">
        <v>30</v>
      </c>
      <c r="AB478" s="542" t="s">
        <v>129</v>
      </c>
      <c r="AC478" s="570"/>
      <c r="AD478" s="677">
        <f t="shared" si="138"/>
        <v>5319.5</v>
      </c>
      <c r="AE478" s="639">
        <f t="shared" si="138"/>
        <v>3632.9</v>
      </c>
      <c r="AF478" s="650">
        <f t="shared" si="138"/>
        <v>5239.3</v>
      </c>
      <c r="AG478" s="180"/>
      <c r="AH478" s="180"/>
      <c r="AI478" s="147"/>
    </row>
    <row r="479" spans="1:35" s="96" customFormat="1" ht="31.5" x14ac:dyDescent="0.25">
      <c r="A479" s="68"/>
      <c r="B479" s="69"/>
      <c r="C479" s="69"/>
      <c r="D479" s="71"/>
      <c r="E479" s="72"/>
      <c r="F479" s="72"/>
      <c r="G479" s="73"/>
      <c r="H479" s="73"/>
      <c r="I479" s="73"/>
      <c r="J479" s="73"/>
      <c r="K479" s="73"/>
      <c r="L479" s="73"/>
      <c r="M479" s="73"/>
      <c r="N479" s="73"/>
      <c r="O479" s="74"/>
      <c r="P479" s="73"/>
      <c r="Q479" s="75"/>
      <c r="R479" s="95"/>
      <c r="S479" s="95"/>
      <c r="T479" s="95"/>
      <c r="U479" s="95"/>
      <c r="V479" s="95"/>
      <c r="W479" s="95"/>
      <c r="X479" s="657" t="s">
        <v>524</v>
      </c>
      <c r="Y479" s="467" t="s">
        <v>63</v>
      </c>
      <c r="Z479" s="453">
        <v>11</v>
      </c>
      <c r="AA479" s="453" t="s">
        <v>30</v>
      </c>
      <c r="AB479" s="542" t="s">
        <v>160</v>
      </c>
      <c r="AC479" s="476"/>
      <c r="AD479" s="677">
        <f>AD480+AD482</f>
        <v>5319.5</v>
      </c>
      <c r="AE479" s="639">
        <f t="shared" ref="AE479:AF479" si="139">AE480+AE482</f>
        <v>3632.9</v>
      </c>
      <c r="AF479" s="650">
        <f t="shared" si="139"/>
        <v>5239.3</v>
      </c>
      <c r="AG479" s="180"/>
      <c r="AH479" s="180"/>
      <c r="AI479" s="147"/>
    </row>
    <row r="480" spans="1:35" s="96" customFormat="1" x14ac:dyDescent="0.25">
      <c r="A480" s="68"/>
      <c r="B480" s="69"/>
      <c r="C480" s="69"/>
      <c r="D480" s="71"/>
      <c r="E480" s="72"/>
      <c r="F480" s="72"/>
      <c r="G480" s="73"/>
      <c r="H480" s="73"/>
      <c r="I480" s="73"/>
      <c r="J480" s="73"/>
      <c r="K480" s="73"/>
      <c r="L480" s="73"/>
      <c r="M480" s="73"/>
      <c r="N480" s="73"/>
      <c r="O480" s="74"/>
      <c r="P480" s="73"/>
      <c r="Q480" s="75"/>
      <c r="R480" s="95"/>
      <c r="S480" s="95"/>
      <c r="T480" s="95"/>
      <c r="U480" s="95"/>
      <c r="V480" s="95"/>
      <c r="W480" s="95"/>
      <c r="X480" s="451" t="s">
        <v>120</v>
      </c>
      <c r="Y480" s="452" t="s">
        <v>63</v>
      </c>
      <c r="Z480" s="453">
        <v>11</v>
      </c>
      <c r="AA480" s="453" t="s">
        <v>30</v>
      </c>
      <c r="AB480" s="542" t="s">
        <v>160</v>
      </c>
      <c r="AC480" s="454">
        <v>200</v>
      </c>
      <c r="AD480" s="677">
        <f>AD481</f>
        <v>4544.5</v>
      </c>
      <c r="AE480" s="639">
        <f>AE481</f>
        <v>2857.9</v>
      </c>
      <c r="AF480" s="650">
        <f>AF481</f>
        <v>3239.3</v>
      </c>
      <c r="AG480" s="180"/>
      <c r="AH480" s="180"/>
      <c r="AI480" s="147"/>
    </row>
    <row r="481" spans="1:35" s="96" customFormat="1" ht="31.5" x14ac:dyDescent="0.25">
      <c r="A481" s="68"/>
      <c r="B481" s="69"/>
      <c r="C481" s="69"/>
      <c r="D481" s="71"/>
      <c r="E481" s="72"/>
      <c r="F481" s="72"/>
      <c r="G481" s="73"/>
      <c r="H481" s="73"/>
      <c r="I481" s="73"/>
      <c r="J481" s="73"/>
      <c r="K481" s="73"/>
      <c r="L481" s="73"/>
      <c r="M481" s="73"/>
      <c r="N481" s="73"/>
      <c r="O481" s="74"/>
      <c r="P481" s="73"/>
      <c r="Q481" s="75"/>
      <c r="R481" s="95"/>
      <c r="S481" s="95"/>
      <c r="T481" s="95"/>
      <c r="U481" s="95"/>
      <c r="V481" s="95"/>
      <c r="W481" s="95"/>
      <c r="X481" s="451" t="s">
        <v>52</v>
      </c>
      <c r="Y481" s="452" t="s">
        <v>63</v>
      </c>
      <c r="Z481" s="453">
        <v>11</v>
      </c>
      <c r="AA481" s="453" t="s">
        <v>30</v>
      </c>
      <c r="AB481" s="542" t="s">
        <v>160</v>
      </c>
      <c r="AC481" s="454">
        <v>240</v>
      </c>
      <c r="AD481" s="677">
        <f>3500-775+1819.5</f>
        <v>4544.5</v>
      </c>
      <c r="AE481" s="639">
        <f>3632.9-775</f>
        <v>2857.9</v>
      </c>
      <c r="AF481" s="650">
        <f>8990-3750.7-2000</f>
        <v>3239.3</v>
      </c>
      <c r="AG481" s="180"/>
      <c r="AH481" s="180"/>
      <c r="AI481" s="147"/>
    </row>
    <row r="482" spans="1:35" s="96" customFormat="1" ht="31.5" x14ac:dyDescent="0.25">
      <c r="A482" s="68"/>
      <c r="B482" s="69"/>
      <c r="C482" s="69"/>
      <c r="D482" s="71"/>
      <c r="E482" s="72"/>
      <c r="F482" s="72"/>
      <c r="G482" s="492"/>
      <c r="H482" s="492"/>
      <c r="I482" s="492"/>
      <c r="J482" s="492"/>
      <c r="K482" s="492"/>
      <c r="L482" s="492"/>
      <c r="M482" s="492"/>
      <c r="N482" s="492"/>
      <c r="O482" s="74"/>
      <c r="P482" s="492"/>
      <c r="Q482" s="75"/>
      <c r="R482" s="95"/>
      <c r="S482" s="95"/>
      <c r="T482" s="95"/>
      <c r="U482" s="95"/>
      <c r="V482" s="95"/>
      <c r="W482" s="95"/>
      <c r="X482" s="654" t="s">
        <v>60</v>
      </c>
      <c r="Y482" s="452" t="s">
        <v>63</v>
      </c>
      <c r="Z482" s="453">
        <v>11</v>
      </c>
      <c r="AA482" s="453" t="s">
        <v>30</v>
      </c>
      <c r="AB482" s="542" t="s">
        <v>160</v>
      </c>
      <c r="AC482" s="454">
        <v>600</v>
      </c>
      <c r="AD482" s="677">
        <f>AD483+AD484</f>
        <v>775</v>
      </c>
      <c r="AE482" s="639">
        <f t="shared" ref="AE482:AF482" si="140">AE483+AE484</f>
        <v>775</v>
      </c>
      <c r="AF482" s="650">
        <f t="shared" si="140"/>
        <v>2000</v>
      </c>
      <c r="AG482" s="506"/>
      <c r="AH482" s="506"/>
      <c r="AI482" s="502"/>
    </row>
    <row r="483" spans="1:35" s="96" customFormat="1" x14ac:dyDescent="0.25">
      <c r="A483" s="68"/>
      <c r="B483" s="69"/>
      <c r="C483" s="69"/>
      <c r="D483" s="71"/>
      <c r="E483" s="72"/>
      <c r="F483" s="72"/>
      <c r="G483" s="492"/>
      <c r="H483" s="492"/>
      <c r="I483" s="492"/>
      <c r="J483" s="492"/>
      <c r="K483" s="492"/>
      <c r="L483" s="492"/>
      <c r="M483" s="492"/>
      <c r="N483" s="492"/>
      <c r="O483" s="74"/>
      <c r="P483" s="492"/>
      <c r="Q483" s="75"/>
      <c r="R483" s="95"/>
      <c r="S483" s="95"/>
      <c r="T483" s="95"/>
      <c r="U483" s="95"/>
      <c r="V483" s="95"/>
      <c r="W483" s="95"/>
      <c r="X483" s="451" t="s">
        <v>61</v>
      </c>
      <c r="Y483" s="452" t="s">
        <v>63</v>
      </c>
      <c r="Z483" s="453">
        <v>11</v>
      </c>
      <c r="AA483" s="453" t="s">
        <v>30</v>
      </c>
      <c r="AB483" s="542" t="s">
        <v>160</v>
      </c>
      <c r="AC483" s="454">
        <v>610</v>
      </c>
      <c r="AD483" s="677">
        <v>450</v>
      </c>
      <c r="AE483" s="639">
        <v>450</v>
      </c>
      <c r="AF483" s="650">
        <v>1162</v>
      </c>
      <c r="AG483" s="506"/>
      <c r="AH483" s="506"/>
      <c r="AI483" s="502"/>
    </row>
    <row r="484" spans="1:35" s="96" customFormat="1" x14ac:dyDescent="0.25">
      <c r="A484" s="68"/>
      <c r="B484" s="69"/>
      <c r="C484" s="69"/>
      <c r="D484" s="71"/>
      <c r="E484" s="72"/>
      <c r="F484" s="72"/>
      <c r="G484" s="492"/>
      <c r="H484" s="492"/>
      <c r="I484" s="492"/>
      <c r="J484" s="492"/>
      <c r="K484" s="492"/>
      <c r="L484" s="492"/>
      <c r="M484" s="492"/>
      <c r="N484" s="492"/>
      <c r="O484" s="74"/>
      <c r="P484" s="492"/>
      <c r="Q484" s="75"/>
      <c r="R484" s="95"/>
      <c r="S484" s="95"/>
      <c r="T484" s="95"/>
      <c r="U484" s="95"/>
      <c r="V484" s="95"/>
      <c r="W484" s="95"/>
      <c r="X484" s="658" t="s">
        <v>130</v>
      </c>
      <c r="Y484" s="452" t="s">
        <v>63</v>
      </c>
      <c r="Z484" s="453">
        <v>11</v>
      </c>
      <c r="AA484" s="453" t="s">
        <v>30</v>
      </c>
      <c r="AB484" s="542" t="s">
        <v>160</v>
      </c>
      <c r="AC484" s="454">
        <v>620</v>
      </c>
      <c r="AD484" s="677">
        <v>325</v>
      </c>
      <c r="AE484" s="639">
        <v>325</v>
      </c>
      <c r="AF484" s="650">
        <v>838</v>
      </c>
      <c r="AG484" s="506"/>
      <c r="AH484" s="506"/>
      <c r="AI484" s="502"/>
    </row>
    <row r="485" spans="1:35" s="96" customFormat="1" x14ac:dyDescent="0.25">
      <c r="A485" s="68"/>
      <c r="B485" s="69"/>
      <c r="C485" s="69"/>
      <c r="D485" s="71"/>
      <c r="E485" s="72"/>
      <c r="F485" s="72"/>
      <c r="G485" s="73"/>
      <c r="H485" s="73"/>
      <c r="I485" s="73"/>
      <c r="J485" s="73"/>
      <c r="K485" s="73"/>
      <c r="L485" s="73"/>
      <c r="M485" s="73"/>
      <c r="N485" s="73"/>
      <c r="O485" s="74"/>
      <c r="P485" s="73"/>
      <c r="Q485" s="75"/>
      <c r="R485" s="95"/>
      <c r="S485" s="95"/>
      <c r="T485" s="95"/>
      <c r="U485" s="95"/>
      <c r="V485" s="95"/>
      <c r="W485" s="95"/>
      <c r="X485" s="658" t="s">
        <v>600</v>
      </c>
      <c r="Y485" s="452" t="s">
        <v>63</v>
      </c>
      <c r="Z485" s="453">
        <v>11</v>
      </c>
      <c r="AA485" s="453" t="s">
        <v>7</v>
      </c>
      <c r="AB485" s="542"/>
      <c r="AC485" s="570"/>
      <c r="AD485" s="677">
        <f t="shared" ref="AD485:AD490" si="141">AD486</f>
        <v>125666.1</v>
      </c>
      <c r="AE485" s="639">
        <f t="shared" ref="AE485:AF490" si="142">AE486</f>
        <v>120743</v>
      </c>
      <c r="AF485" s="650">
        <f t="shared" si="142"/>
        <v>122224</v>
      </c>
      <c r="AG485" s="180"/>
      <c r="AH485" s="180"/>
      <c r="AI485" s="147"/>
    </row>
    <row r="486" spans="1:35" s="96" customFormat="1" x14ac:dyDescent="0.25">
      <c r="A486" s="68"/>
      <c r="B486" s="69"/>
      <c r="C486" s="69"/>
      <c r="D486" s="71"/>
      <c r="E486" s="72"/>
      <c r="F486" s="72"/>
      <c r="G486" s="73"/>
      <c r="H486" s="73"/>
      <c r="I486" s="73"/>
      <c r="J486" s="73"/>
      <c r="K486" s="73"/>
      <c r="L486" s="73"/>
      <c r="M486" s="73"/>
      <c r="N486" s="73"/>
      <c r="O486" s="74"/>
      <c r="P486" s="73"/>
      <c r="Q486" s="75"/>
      <c r="R486" s="95"/>
      <c r="S486" s="95"/>
      <c r="T486" s="95"/>
      <c r="U486" s="95"/>
      <c r="V486" s="95"/>
      <c r="W486" s="95"/>
      <c r="X486" s="459" t="s">
        <v>157</v>
      </c>
      <c r="Y486" s="452" t="s">
        <v>63</v>
      </c>
      <c r="Z486" s="453">
        <v>11</v>
      </c>
      <c r="AA486" s="453" t="s">
        <v>7</v>
      </c>
      <c r="AB486" s="542" t="s">
        <v>115</v>
      </c>
      <c r="AC486" s="570"/>
      <c r="AD486" s="677">
        <f t="shared" si="141"/>
        <v>125666.1</v>
      </c>
      <c r="AE486" s="639">
        <f t="shared" si="142"/>
        <v>120743</v>
      </c>
      <c r="AF486" s="650">
        <f t="shared" si="142"/>
        <v>122224</v>
      </c>
      <c r="AG486" s="180"/>
      <c r="AH486" s="180"/>
      <c r="AI486" s="147"/>
    </row>
    <row r="487" spans="1:35" s="96" customFormat="1" x14ac:dyDescent="0.25">
      <c r="A487" s="68"/>
      <c r="B487" s="69"/>
      <c r="C487" s="69"/>
      <c r="D487" s="71"/>
      <c r="E487" s="72"/>
      <c r="F487" s="72"/>
      <c r="G487" s="73"/>
      <c r="H487" s="73"/>
      <c r="I487" s="73"/>
      <c r="J487" s="73"/>
      <c r="K487" s="73"/>
      <c r="L487" s="73"/>
      <c r="M487" s="73"/>
      <c r="N487" s="73"/>
      <c r="O487" s="74"/>
      <c r="P487" s="73"/>
      <c r="Q487" s="75"/>
      <c r="R487" s="95"/>
      <c r="S487" s="95"/>
      <c r="T487" s="95"/>
      <c r="U487" s="95"/>
      <c r="V487" s="95"/>
      <c r="W487" s="95"/>
      <c r="X487" s="658" t="s">
        <v>601</v>
      </c>
      <c r="Y487" s="467" t="s">
        <v>63</v>
      </c>
      <c r="Z487" s="453">
        <v>11</v>
      </c>
      <c r="AA487" s="453" t="s">
        <v>7</v>
      </c>
      <c r="AB487" s="542" t="s">
        <v>602</v>
      </c>
      <c r="AC487" s="570"/>
      <c r="AD487" s="677">
        <f t="shared" si="141"/>
        <v>125666.1</v>
      </c>
      <c r="AE487" s="639">
        <f t="shared" si="142"/>
        <v>120743</v>
      </c>
      <c r="AF487" s="650">
        <f t="shared" si="142"/>
        <v>122224</v>
      </c>
      <c r="AG487" s="180"/>
      <c r="AH487" s="180"/>
      <c r="AI487" s="147"/>
    </row>
    <row r="488" spans="1:35" s="96" customFormat="1" x14ac:dyDescent="0.25">
      <c r="A488" s="68"/>
      <c r="B488" s="69"/>
      <c r="C488" s="69"/>
      <c r="D488" s="71"/>
      <c r="E488" s="72"/>
      <c r="F488" s="72"/>
      <c r="G488" s="73"/>
      <c r="H488" s="73"/>
      <c r="I488" s="73"/>
      <c r="J488" s="73"/>
      <c r="K488" s="73"/>
      <c r="L488" s="73"/>
      <c r="M488" s="73"/>
      <c r="N488" s="73"/>
      <c r="O488" s="74"/>
      <c r="P488" s="73"/>
      <c r="Q488" s="75"/>
      <c r="R488" s="95"/>
      <c r="S488" s="95"/>
      <c r="T488" s="95"/>
      <c r="U488" s="95"/>
      <c r="V488" s="95"/>
      <c r="W488" s="95"/>
      <c r="X488" s="658" t="s">
        <v>604</v>
      </c>
      <c r="Y488" s="467" t="s">
        <v>63</v>
      </c>
      <c r="Z488" s="453">
        <v>11</v>
      </c>
      <c r="AA488" s="453" t="s">
        <v>7</v>
      </c>
      <c r="AB488" s="542" t="s">
        <v>603</v>
      </c>
      <c r="AC488" s="570"/>
      <c r="AD488" s="677">
        <f t="shared" si="141"/>
        <v>125666.1</v>
      </c>
      <c r="AE488" s="639">
        <f t="shared" si="142"/>
        <v>120743</v>
      </c>
      <c r="AF488" s="650">
        <f t="shared" si="142"/>
        <v>122224</v>
      </c>
      <c r="AG488" s="180"/>
      <c r="AH488" s="180"/>
      <c r="AI488" s="147"/>
    </row>
    <row r="489" spans="1:35" s="96" customFormat="1" ht="31.5" x14ac:dyDescent="0.25">
      <c r="A489" s="68"/>
      <c r="B489" s="69"/>
      <c r="C489" s="69"/>
      <c r="D489" s="71"/>
      <c r="E489" s="72"/>
      <c r="F489" s="72"/>
      <c r="G489" s="73"/>
      <c r="H489" s="73"/>
      <c r="I489" s="73"/>
      <c r="J489" s="73"/>
      <c r="K489" s="73"/>
      <c r="L489" s="73"/>
      <c r="M489" s="73"/>
      <c r="N489" s="73"/>
      <c r="O489" s="74"/>
      <c r="P489" s="73"/>
      <c r="Q489" s="75"/>
      <c r="R489" s="95"/>
      <c r="S489" s="95"/>
      <c r="T489" s="95"/>
      <c r="U489" s="95"/>
      <c r="V489" s="95"/>
      <c r="W489" s="95"/>
      <c r="X489" s="658" t="s">
        <v>606</v>
      </c>
      <c r="Y489" s="467" t="s">
        <v>63</v>
      </c>
      <c r="Z489" s="453">
        <v>11</v>
      </c>
      <c r="AA489" s="453" t="s">
        <v>7</v>
      </c>
      <c r="AB489" s="542" t="s">
        <v>605</v>
      </c>
      <c r="AC489" s="570"/>
      <c r="AD489" s="677">
        <f t="shared" si="141"/>
        <v>125666.1</v>
      </c>
      <c r="AE489" s="639">
        <f t="shared" si="142"/>
        <v>120743</v>
      </c>
      <c r="AF489" s="650">
        <f t="shared" si="142"/>
        <v>122224</v>
      </c>
      <c r="AG489" s="180"/>
      <c r="AH489" s="180"/>
      <c r="AI489" s="147"/>
    </row>
    <row r="490" spans="1:35" s="96" customFormat="1" ht="31.5" x14ac:dyDescent="0.25">
      <c r="A490" s="68"/>
      <c r="B490" s="69"/>
      <c r="C490" s="69"/>
      <c r="D490" s="71"/>
      <c r="E490" s="72"/>
      <c r="F490" s="72"/>
      <c r="G490" s="73"/>
      <c r="H490" s="73"/>
      <c r="I490" s="73"/>
      <c r="J490" s="73"/>
      <c r="K490" s="73"/>
      <c r="L490" s="73"/>
      <c r="M490" s="73"/>
      <c r="N490" s="73"/>
      <c r="O490" s="74"/>
      <c r="P490" s="73"/>
      <c r="Q490" s="75"/>
      <c r="R490" s="95"/>
      <c r="S490" s="95"/>
      <c r="T490" s="95"/>
      <c r="U490" s="95"/>
      <c r="V490" s="95"/>
      <c r="W490" s="95"/>
      <c r="X490" s="451" t="s">
        <v>60</v>
      </c>
      <c r="Y490" s="467" t="s">
        <v>63</v>
      </c>
      <c r="Z490" s="453">
        <v>11</v>
      </c>
      <c r="AA490" s="453" t="s">
        <v>7</v>
      </c>
      <c r="AB490" s="542" t="s">
        <v>605</v>
      </c>
      <c r="AC490" s="570">
        <v>600</v>
      </c>
      <c r="AD490" s="677">
        <f t="shared" si="141"/>
        <v>125666.1</v>
      </c>
      <c r="AE490" s="639">
        <f t="shared" si="142"/>
        <v>120743</v>
      </c>
      <c r="AF490" s="650">
        <f t="shared" si="142"/>
        <v>122224</v>
      </c>
      <c r="AG490" s="180"/>
      <c r="AH490" s="180"/>
      <c r="AI490" s="147"/>
    </row>
    <row r="491" spans="1:35" s="96" customFormat="1" x14ac:dyDescent="0.25">
      <c r="A491" s="68"/>
      <c r="B491" s="69"/>
      <c r="C491" s="69"/>
      <c r="D491" s="71"/>
      <c r="E491" s="72"/>
      <c r="F491" s="72"/>
      <c r="G491" s="73"/>
      <c r="H491" s="73"/>
      <c r="I491" s="73"/>
      <c r="J491" s="73"/>
      <c r="K491" s="73"/>
      <c r="L491" s="73"/>
      <c r="M491" s="73"/>
      <c r="N491" s="73"/>
      <c r="O491" s="74"/>
      <c r="P491" s="73"/>
      <c r="Q491" s="75"/>
      <c r="R491" s="95"/>
      <c r="S491" s="95"/>
      <c r="T491" s="95"/>
      <c r="U491" s="95"/>
      <c r="V491" s="95"/>
      <c r="W491" s="95"/>
      <c r="X491" s="658" t="s">
        <v>130</v>
      </c>
      <c r="Y491" s="467" t="s">
        <v>63</v>
      </c>
      <c r="Z491" s="453">
        <v>11</v>
      </c>
      <c r="AA491" s="453" t="s">
        <v>7</v>
      </c>
      <c r="AB491" s="542" t="s">
        <v>605</v>
      </c>
      <c r="AC491" s="570">
        <v>620</v>
      </c>
      <c r="AD491" s="677">
        <f>124505.5+1160.6</f>
        <v>125666.1</v>
      </c>
      <c r="AE491" s="639">
        <v>120743</v>
      </c>
      <c r="AF491" s="650">
        <v>122224</v>
      </c>
      <c r="AG491" s="180"/>
      <c r="AH491" s="180"/>
      <c r="AI491" s="147"/>
    </row>
    <row r="492" spans="1:35" s="96" customFormat="1" x14ac:dyDescent="0.25">
      <c r="A492" s="68"/>
      <c r="B492" s="69"/>
      <c r="C492" s="69"/>
      <c r="D492" s="71"/>
      <c r="E492" s="72"/>
      <c r="F492" s="72"/>
      <c r="G492" s="73"/>
      <c r="H492" s="73"/>
      <c r="I492" s="73"/>
      <c r="J492" s="73"/>
      <c r="K492" s="73"/>
      <c r="L492" s="73"/>
      <c r="M492" s="73"/>
      <c r="N492" s="73"/>
      <c r="O492" s="74"/>
      <c r="P492" s="73"/>
      <c r="Q492" s="75"/>
      <c r="R492" s="95"/>
      <c r="S492" s="95"/>
      <c r="T492" s="95"/>
      <c r="U492" s="95"/>
      <c r="V492" s="95"/>
      <c r="W492" s="95"/>
      <c r="X492" s="653" t="s">
        <v>437</v>
      </c>
      <c r="Y492" s="711" t="s">
        <v>63</v>
      </c>
      <c r="Z492" s="480">
        <v>13</v>
      </c>
      <c r="AA492" s="471"/>
      <c r="AB492" s="539"/>
      <c r="AC492" s="476"/>
      <c r="AD492" s="671">
        <f>AD493</f>
        <v>4534.5</v>
      </c>
      <c r="AE492" s="633">
        <f>AE493</f>
        <v>40146.5</v>
      </c>
      <c r="AF492" s="644">
        <f>AF493</f>
        <v>53573.599999999999</v>
      </c>
      <c r="AG492" s="205"/>
      <c r="AH492" s="205"/>
      <c r="AI492" s="147"/>
    </row>
    <row r="493" spans="1:35" x14ac:dyDescent="0.25">
      <c r="A493" s="47"/>
      <c r="B493" s="78"/>
      <c r="C493" s="78"/>
      <c r="D493" s="79"/>
      <c r="E493" s="79"/>
      <c r="F493" s="79"/>
      <c r="G493" s="127"/>
      <c r="H493" s="127"/>
      <c r="I493" s="127"/>
      <c r="J493" s="127"/>
      <c r="K493" s="127"/>
      <c r="L493" s="73"/>
      <c r="M493" s="127"/>
      <c r="N493" s="73"/>
      <c r="O493" s="82"/>
      <c r="P493" s="127"/>
      <c r="Q493" s="83"/>
      <c r="R493" s="128"/>
      <c r="S493" s="128"/>
      <c r="T493" s="128"/>
      <c r="U493" s="128"/>
      <c r="V493" s="128"/>
      <c r="W493" s="128"/>
      <c r="X493" s="451" t="s">
        <v>438</v>
      </c>
      <c r="Y493" s="452" t="s">
        <v>63</v>
      </c>
      <c r="Z493" s="474">
        <v>13</v>
      </c>
      <c r="AA493" s="453" t="s">
        <v>29</v>
      </c>
      <c r="AB493" s="545"/>
      <c r="AC493" s="454"/>
      <c r="AD493" s="672">
        <f>AD497</f>
        <v>4534.5</v>
      </c>
      <c r="AE493" s="634">
        <f>AE497</f>
        <v>40146.5</v>
      </c>
      <c r="AF493" s="645">
        <f>AF497</f>
        <v>53573.599999999999</v>
      </c>
      <c r="AG493" s="180"/>
      <c r="AH493" s="180"/>
      <c r="AI493" s="147"/>
    </row>
    <row r="494" spans="1:35" x14ac:dyDescent="0.25">
      <c r="A494" s="47"/>
      <c r="B494" s="78"/>
      <c r="C494" s="78"/>
      <c r="D494" s="79"/>
      <c r="E494" s="79"/>
      <c r="F494" s="79"/>
      <c r="G494" s="127"/>
      <c r="H494" s="127"/>
      <c r="I494" s="127"/>
      <c r="J494" s="127"/>
      <c r="K494" s="127"/>
      <c r="L494" s="73"/>
      <c r="M494" s="127"/>
      <c r="N494" s="73"/>
      <c r="O494" s="82"/>
      <c r="P494" s="127"/>
      <c r="Q494" s="83"/>
      <c r="R494" s="128"/>
      <c r="S494" s="128"/>
      <c r="T494" s="128"/>
      <c r="U494" s="128"/>
      <c r="V494" s="128"/>
      <c r="W494" s="128"/>
      <c r="X494" s="457" t="s">
        <v>186</v>
      </c>
      <c r="Y494" s="452" t="s">
        <v>63</v>
      </c>
      <c r="Z494" s="474">
        <v>13</v>
      </c>
      <c r="AA494" s="453" t="s">
        <v>29</v>
      </c>
      <c r="AB494" s="542" t="s">
        <v>112</v>
      </c>
      <c r="AC494" s="454"/>
      <c r="AD494" s="672">
        <f>AD497</f>
        <v>4534.5</v>
      </c>
      <c r="AE494" s="634">
        <f>AE497</f>
        <v>40146.5</v>
      </c>
      <c r="AF494" s="645">
        <f>AF497</f>
        <v>53573.599999999999</v>
      </c>
      <c r="AG494" s="180"/>
      <c r="AH494" s="180"/>
      <c r="AI494" s="147"/>
    </row>
    <row r="495" spans="1:35" x14ac:dyDescent="0.25">
      <c r="A495" s="47"/>
      <c r="B495" s="78"/>
      <c r="C495" s="78"/>
      <c r="D495" s="79"/>
      <c r="E495" s="79"/>
      <c r="F495" s="79"/>
      <c r="G495" s="127"/>
      <c r="H495" s="127"/>
      <c r="I495" s="127"/>
      <c r="J495" s="127"/>
      <c r="K495" s="127"/>
      <c r="L495" s="73"/>
      <c r="M495" s="127"/>
      <c r="N495" s="73"/>
      <c r="O495" s="82"/>
      <c r="P495" s="127"/>
      <c r="Q495" s="83"/>
      <c r="R495" s="128"/>
      <c r="S495" s="128"/>
      <c r="T495" s="128"/>
      <c r="U495" s="128"/>
      <c r="V495" s="128"/>
      <c r="W495" s="128"/>
      <c r="X495" s="457" t="s">
        <v>531</v>
      </c>
      <c r="Y495" s="452" t="s">
        <v>63</v>
      </c>
      <c r="Z495" s="474">
        <v>13</v>
      </c>
      <c r="AA495" s="453" t="s">
        <v>29</v>
      </c>
      <c r="AB495" s="542" t="s">
        <v>405</v>
      </c>
      <c r="AC495" s="454"/>
      <c r="AD495" s="672">
        <f t="shared" ref="AD495:AF496" si="143">AD496</f>
        <v>4534.5</v>
      </c>
      <c r="AE495" s="634">
        <f t="shared" si="143"/>
        <v>40146.5</v>
      </c>
      <c r="AF495" s="645">
        <f t="shared" si="143"/>
        <v>53573.599999999999</v>
      </c>
      <c r="AG495" s="180"/>
      <c r="AH495" s="180"/>
      <c r="AI495" s="147"/>
    </row>
    <row r="496" spans="1:35" ht="31.5" x14ac:dyDescent="0.25">
      <c r="A496" s="47"/>
      <c r="B496" s="78"/>
      <c r="C496" s="78"/>
      <c r="D496" s="79"/>
      <c r="E496" s="79"/>
      <c r="F496" s="79"/>
      <c r="G496" s="127"/>
      <c r="H496" s="127"/>
      <c r="I496" s="127"/>
      <c r="J496" s="127"/>
      <c r="K496" s="127"/>
      <c r="L496" s="73"/>
      <c r="M496" s="127"/>
      <c r="N496" s="73"/>
      <c r="O496" s="82"/>
      <c r="P496" s="127"/>
      <c r="Q496" s="83"/>
      <c r="R496" s="128"/>
      <c r="S496" s="128"/>
      <c r="T496" s="128"/>
      <c r="U496" s="128"/>
      <c r="V496" s="128"/>
      <c r="W496" s="128"/>
      <c r="X496" s="466" t="s">
        <v>532</v>
      </c>
      <c r="Y496" s="452" t="s">
        <v>63</v>
      </c>
      <c r="Z496" s="474">
        <v>13</v>
      </c>
      <c r="AA496" s="453" t="s">
        <v>29</v>
      </c>
      <c r="AB496" s="542" t="s">
        <v>407</v>
      </c>
      <c r="AC496" s="454"/>
      <c r="AD496" s="672">
        <f t="shared" si="143"/>
        <v>4534.5</v>
      </c>
      <c r="AE496" s="634">
        <f t="shared" si="143"/>
        <v>40146.5</v>
      </c>
      <c r="AF496" s="645">
        <f t="shared" si="143"/>
        <v>53573.599999999999</v>
      </c>
      <c r="AG496" s="180"/>
      <c r="AH496" s="180"/>
      <c r="AI496" s="147"/>
    </row>
    <row r="497" spans="1:35" x14ac:dyDescent="0.25">
      <c r="A497" s="88"/>
      <c r="B497" s="78"/>
      <c r="C497" s="78"/>
      <c r="D497" s="79"/>
      <c r="E497" s="79"/>
      <c r="F497" s="79"/>
      <c r="G497" s="127"/>
      <c r="H497" s="127"/>
      <c r="I497" s="127"/>
      <c r="J497" s="127"/>
      <c r="K497" s="127"/>
      <c r="L497" s="73"/>
      <c r="M497" s="127"/>
      <c r="N497" s="73"/>
      <c r="O497" s="82"/>
      <c r="P497" s="127"/>
      <c r="Q497" s="83"/>
      <c r="R497" s="128"/>
      <c r="S497" s="128"/>
      <c r="T497" s="128"/>
      <c r="U497" s="128"/>
      <c r="V497" s="128"/>
      <c r="W497" s="128"/>
      <c r="X497" s="457" t="s">
        <v>188</v>
      </c>
      <c r="Y497" s="452" t="s">
        <v>63</v>
      </c>
      <c r="Z497" s="474">
        <v>13</v>
      </c>
      <c r="AA497" s="453" t="s">
        <v>29</v>
      </c>
      <c r="AB497" s="542" t="s">
        <v>533</v>
      </c>
      <c r="AC497" s="454"/>
      <c r="AD497" s="672">
        <f t="shared" ref="AD497:AF498" si="144">AD498</f>
        <v>4534.5</v>
      </c>
      <c r="AE497" s="634">
        <f t="shared" si="144"/>
        <v>40146.5</v>
      </c>
      <c r="AF497" s="645">
        <f t="shared" si="144"/>
        <v>53573.599999999999</v>
      </c>
      <c r="AG497" s="180"/>
      <c r="AH497" s="180"/>
      <c r="AI497" s="147"/>
    </row>
    <row r="498" spans="1:35" x14ac:dyDescent="0.25">
      <c r="A498" s="89"/>
      <c r="B498" s="78"/>
      <c r="C498" s="78"/>
      <c r="D498" s="79"/>
      <c r="E498" s="79"/>
      <c r="F498" s="79"/>
      <c r="G498" s="127"/>
      <c r="H498" s="127"/>
      <c r="I498" s="127"/>
      <c r="J498" s="127"/>
      <c r="K498" s="127"/>
      <c r="L498" s="73"/>
      <c r="M498" s="127"/>
      <c r="N498" s="73"/>
      <c r="O498" s="82"/>
      <c r="P498" s="127"/>
      <c r="Q498" s="83"/>
      <c r="R498" s="128"/>
      <c r="S498" s="128"/>
      <c r="T498" s="128"/>
      <c r="U498" s="128"/>
      <c r="V498" s="128"/>
      <c r="W498" s="128"/>
      <c r="X498" s="451" t="s">
        <v>67</v>
      </c>
      <c r="Y498" s="452" t="s">
        <v>63</v>
      </c>
      <c r="Z498" s="474">
        <v>13</v>
      </c>
      <c r="AA498" s="453" t="s">
        <v>29</v>
      </c>
      <c r="AB498" s="542" t="s">
        <v>533</v>
      </c>
      <c r="AC498" s="454">
        <v>700</v>
      </c>
      <c r="AD498" s="672">
        <f t="shared" si="144"/>
        <v>4534.5</v>
      </c>
      <c r="AE498" s="634">
        <f t="shared" si="144"/>
        <v>40146.5</v>
      </c>
      <c r="AF498" s="645">
        <f t="shared" si="144"/>
        <v>53573.599999999999</v>
      </c>
      <c r="AG498" s="180"/>
      <c r="AH498" s="180"/>
      <c r="AI498" s="147"/>
    </row>
    <row r="499" spans="1:35" s="103" customFormat="1" x14ac:dyDescent="0.25">
      <c r="A499" s="90"/>
      <c r="B499" s="78"/>
      <c r="C499" s="78"/>
      <c r="D499" s="79"/>
      <c r="E499" s="79"/>
      <c r="F499" s="79"/>
      <c r="G499" s="127"/>
      <c r="H499" s="105"/>
      <c r="I499" s="49"/>
      <c r="J499" s="49"/>
      <c r="K499" s="49"/>
      <c r="L499" s="73"/>
      <c r="M499" s="49"/>
      <c r="N499" s="73"/>
      <c r="O499" s="82"/>
      <c r="P499" s="127"/>
      <c r="Q499" s="83"/>
      <c r="R499" s="84"/>
      <c r="S499" s="87"/>
      <c r="T499" s="87"/>
      <c r="U499" s="87"/>
      <c r="V499" s="87"/>
      <c r="W499" s="105"/>
      <c r="X499" s="451" t="s">
        <v>355</v>
      </c>
      <c r="Y499" s="452" t="s">
        <v>63</v>
      </c>
      <c r="Z499" s="474">
        <v>13</v>
      </c>
      <c r="AA499" s="453" t="s">
        <v>29</v>
      </c>
      <c r="AB499" s="542" t="s">
        <v>533</v>
      </c>
      <c r="AC499" s="454">
        <v>730</v>
      </c>
      <c r="AD499" s="672">
        <v>4534.5</v>
      </c>
      <c r="AE499" s="634">
        <v>40146.5</v>
      </c>
      <c r="AF499" s="645">
        <v>53573.599999999999</v>
      </c>
      <c r="AG499" s="180"/>
      <c r="AH499" s="180"/>
      <c r="AI499" s="147"/>
    </row>
    <row r="500" spans="1:35" ht="18.7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W500" s="3"/>
      <c r="X500" s="653" t="s">
        <v>409</v>
      </c>
      <c r="Y500" s="448" t="s">
        <v>6</v>
      </c>
      <c r="Z500" s="481"/>
      <c r="AA500" s="477"/>
      <c r="AB500" s="541"/>
      <c r="AC500" s="482"/>
      <c r="AD500" s="671">
        <f>AD501+AD526</f>
        <v>19543</v>
      </c>
      <c r="AE500" s="633">
        <f>AE501+AE526</f>
        <v>17213.600000000002</v>
      </c>
      <c r="AF500" s="644">
        <f>AF501+AF526</f>
        <v>17213.600000000002</v>
      </c>
    </row>
    <row r="501" spans="1:3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W501" s="3"/>
      <c r="X501" s="653" t="s">
        <v>25</v>
      </c>
      <c r="Y501" s="448" t="s">
        <v>6</v>
      </c>
      <c r="Z501" s="449" t="s">
        <v>29</v>
      </c>
      <c r="AA501" s="540"/>
      <c r="AB501" s="541"/>
      <c r="AC501" s="476"/>
      <c r="AD501" s="671">
        <f t="shared" ref="AD501:AF501" si="145">AD502</f>
        <v>19070.3</v>
      </c>
      <c r="AE501" s="633">
        <f t="shared" si="145"/>
        <v>16740.900000000001</v>
      </c>
      <c r="AF501" s="644">
        <f t="shared" si="145"/>
        <v>16740.900000000001</v>
      </c>
    </row>
    <row r="502" spans="1:35" ht="31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W502" s="3"/>
      <c r="X502" s="451" t="s">
        <v>28</v>
      </c>
      <c r="Y502" s="452" t="s">
        <v>6</v>
      </c>
      <c r="Z502" s="453" t="s">
        <v>29</v>
      </c>
      <c r="AA502" s="453" t="s">
        <v>7</v>
      </c>
      <c r="AB502" s="539"/>
      <c r="AC502" s="482"/>
      <c r="AD502" s="672">
        <f>AD509+AD503</f>
        <v>19070.3</v>
      </c>
      <c r="AE502" s="634">
        <f>AE509</f>
        <v>16740.900000000001</v>
      </c>
      <c r="AF502" s="645">
        <f>AF509</f>
        <v>16740.900000000001</v>
      </c>
      <c r="AG502" s="3"/>
      <c r="AH502" s="3"/>
    </row>
    <row r="503" spans="1:3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W503" s="3"/>
      <c r="X503" s="457" t="s">
        <v>186</v>
      </c>
      <c r="Y503" s="452" t="s">
        <v>6</v>
      </c>
      <c r="Z503" s="453" t="s">
        <v>29</v>
      </c>
      <c r="AA503" s="454" t="s">
        <v>7</v>
      </c>
      <c r="AB503" s="458" t="s">
        <v>112</v>
      </c>
      <c r="AC503" s="456"/>
      <c r="AD503" s="698">
        <f>AD504</f>
        <v>20</v>
      </c>
      <c r="AE503" s="698">
        <f t="shared" ref="AE503:AF507" si="146">AE504</f>
        <v>0</v>
      </c>
      <c r="AF503" s="698">
        <f t="shared" si="146"/>
        <v>0</v>
      </c>
      <c r="AG503" s="3"/>
      <c r="AH503" s="3"/>
    </row>
    <row r="504" spans="1:3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W504" s="3"/>
      <c r="X504" s="457" t="s">
        <v>189</v>
      </c>
      <c r="Y504" s="452" t="s">
        <v>6</v>
      </c>
      <c r="Z504" s="453" t="s">
        <v>29</v>
      </c>
      <c r="AA504" s="454" t="s">
        <v>7</v>
      </c>
      <c r="AB504" s="458" t="s">
        <v>190</v>
      </c>
      <c r="AC504" s="456"/>
      <c r="AD504" s="698">
        <f>AD505</f>
        <v>20</v>
      </c>
      <c r="AE504" s="698">
        <f t="shared" si="146"/>
        <v>0</v>
      </c>
      <c r="AF504" s="698">
        <f t="shared" si="146"/>
        <v>0</v>
      </c>
      <c r="AG504" s="3"/>
      <c r="AH504" s="3"/>
    </row>
    <row r="505" spans="1:35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W505" s="3"/>
      <c r="X505" s="451" t="s">
        <v>534</v>
      </c>
      <c r="Y505" s="452" t="s">
        <v>6</v>
      </c>
      <c r="Z505" s="453" t="s">
        <v>29</v>
      </c>
      <c r="AA505" s="454" t="s">
        <v>7</v>
      </c>
      <c r="AB505" s="464" t="s">
        <v>535</v>
      </c>
      <c r="AC505" s="460"/>
      <c r="AD505" s="698">
        <f>AD506</f>
        <v>20</v>
      </c>
      <c r="AE505" s="698">
        <f t="shared" si="146"/>
        <v>0</v>
      </c>
      <c r="AF505" s="698">
        <f t="shared" si="146"/>
        <v>0</v>
      </c>
      <c r="AG505" s="3"/>
      <c r="AH505" s="3"/>
    </row>
    <row r="506" spans="1:35" ht="78.7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W506" s="3"/>
      <c r="X506" s="451" t="s">
        <v>406</v>
      </c>
      <c r="Y506" s="452" t="s">
        <v>6</v>
      </c>
      <c r="Z506" s="453" t="s">
        <v>29</v>
      </c>
      <c r="AA506" s="454" t="s">
        <v>7</v>
      </c>
      <c r="AB506" s="458" t="s">
        <v>536</v>
      </c>
      <c r="AC506" s="460"/>
      <c r="AD506" s="698">
        <f>AD507</f>
        <v>20</v>
      </c>
      <c r="AE506" s="698">
        <f t="shared" si="146"/>
        <v>0</v>
      </c>
      <c r="AF506" s="698">
        <f t="shared" si="146"/>
        <v>0</v>
      </c>
      <c r="AG506" s="3"/>
      <c r="AH506" s="3"/>
    </row>
    <row r="507" spans="1:3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W507" s="3"/>
      <c r="X507" s="451" t="s">
        <v>120</v>
      </c>
      <c r="Y507" s="452" t="s">
        <v>6</v>
      </c>
      <c r="Z507" s="453" t="s">
        <v>29</v>
      </c>
      <c r="AA507" s="454" t="s">
        <v>7</v>
      </c>
      <c r="AB507" s="458" t="s">
        <v>536</v>
      </c>
      <c r="AC507" s="460">
        <v>200</v>
      </c>
      <c r="AD507" s="698">
        <f>AD508</f>
        <v>20</v>
      </c>
      <c r="AE507" s="698">
        <f t="shared" si="146"/>
        <v>0</v>
      </c>
      <c r="AF507" s="698">
        <f t="shared" si="146"/>
        <v>0</v>
      </c>
      <c r="AG507" s="3"/>
      <c r="AH507" s="3"/>
    </row>
    <row r="508" spans="1:35" ht="31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W508" s="3"/>
      <c r="X508" s="451" t="s">
        <v>52</v>
      </c>
      <c r="Y508" s="452" t="s">
        <v>6</v>
      </c>
      <c r="Z508" s="453" t="s">
        <v>29</v>
      </c>
      <c r="AA508" s="454" t="s">
        <v>7</v>
      </c>
      <c r="AB508" s="458" t="s">
        <v>536</v>
      </c>
      <c r="AC508" s="460">
        <v>240</v>
      </c>
      <c r="AD508" s="698">
        <v>20</v>
      </c>
      <c r="AE508" s="698">
        <v>0</v>
      </c>
      <c r="AF508" s="698">
        <v>0</v>
      </c>
      <c r="AG508" s="3"/>
      <c r="AH508" s="3"/>
    </row>
    <row r="509" spans="1:35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W509" s="3"/>
      <c r="X509" s="457" t="s">
        <v>274</v>
      </c>
      <c r="Y509" s="452" t="s">
        <v>6</v>
      </c>
      <c r="Z509" s="453" t="s">
        <v>29</v>
      </c>
      <c r="AA509" s="453" t="s">
        <v>7</v>
      </c>
      <c r="AB509" s="542" t="s">
        <v>99</v>
      </c>
      <c r="AC509" s="482"/>
      <c r="AD509" s="672">
        <f>AD510+AD514+AD516</f>
        <v>19050.3</v>
      </c>
      <c r="AE509" s="634">
        <f>AE510+AE514+AE516</f>
        <v>16740.900000000001</v>
      </c>
      <c r="AF509" s="645">
        <f>AF510+AF514+AF516</f>
        <v>16740.900000000001</v>
      </c>
      <c r="AG509" s="3"/>
      <c r="AH509" s="3"/>
    </row>
    <row r="510" spans="1:3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W510" s="3"/>
      <c r="X510" s="667" t="s">
        <v>281</v>
      </c>
      <c r="Y510" s="452" t="s">
        <v>6</v>
      </c>
      <c r="Z510" s="453" t="s">
        <v>29</v>
      </c>
      <c r="AA510" s="453" t="s">
        <v>7</v>
      </c>
      <c r="AB510" s="542" t="s">
        <v>284</v>
      </c>
      <c r="AC510" s="454"/>
      <c r="AD510" s="672">
        <f t="shared" ref="AD510:AF511" si="147">AD511</f>
        <v>3495</v>
      </c>
      <c r="AE510" s="634">
        <f t="shared" si="147"/>
        <v>2936</v>
      </c>
      <c r="AF510" s="645">
        <f t="shared" si="147"/>
        <v>2936</v>
      </c>
      <c r="AG510" s="3"/>
      <c r="AH510" s="3"/>
    </row>
    <row r="511" spans="1:35" ht="47.2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W511" s="3"/>
      <c r="X511" s="451" t="s">
        <v>41</v>
      </c>
      <c r="Y511" s="452" t="s">
        <v>6</v>
      </c>
      <c r="Z511" s="453" t="s">
        <v>29</v>
      </c>
      <c r="AA511" s="453" t="s">
        <v>7</v>
      </c>
      <c r="AB511" s="542" t="s">
        <v>284</v>
      </c>
      <c r="AC511" s="482">
        <v>100</v>
      </c>
      <c r="AD511" s="672">
        <f t="shared" si="147"/>
        <v>3495</v>
      </c>
      <c r="AE511" s="634">
        <f t="shared" si="147"/>
        <v>2936</v>
      </c>
      <c r="AF511" s="645">
        <f t="shared" si="147"/>
        <v>2936</v>
      </c>
      <c r="AG511" s="3"/>
      <c r="AH511" s="3"/>
    </row>
    <row r="512" spans="1:3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W512" s="3"/>
      <c r="X512" s="451" t="s">
        <v>96</v>
      </c>
      <c r="Y512" s="452" t="s">
        <v>6</v>
      </c>
      <c r="Z512" s="453" t="s">
        <v>29</v>
      </c>
      <c r="AA512" s="453" t="s">
        <v>7</v>
      </c>
      <c r="AB512" s="542" t="s">
        <v>284</v>
      </c>
      <c r="AC512" s="454">
        <v>120</v>
      </c>
      <c r="AD512" s="672">
        <f>2936+559</f>
        <v>3495</v>
      </c>
      <c r="AE512" s="634">
        <v>2936</v>
      </c>
      <c r="AF512" s="645">
        <v>2936</v>
      </c>
      <c r="AG512" s="143"/>
      <c r="AH512" s="143"/>
    </row>
    <row r="513" spans="1:34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W513" s="3"/>
      <c r="X513" s="451" t="s">
        <v>329</v>
      </c>
      <c r="Y513" s="452" t="s">
        <v>6</v>
      </c>
      <c r="Z513" s="453" t="s">
        <v>29</v>
      </c>
      <c r="AA513" s="453" t="s">
        <v>7</v>
      </c>
      <c r="AB513" s="542" t="s">
        <v>285</v>
      </c>
      <c r="AC513" s="454"/>
      <c r="AD513" s="672">
        <f>AD515</f>
        <v>2501</v>
      </c>
      <c r="AE513" s="634">
        <f>AE515</f>
        <v>2279.5</v>
      </c>
      <c r="AF513" s="645">
        <f>AF515</f>
        <v>2279.5</v>
      </c>
      <c r="AG513" s="143"/>
      <c r="AH513" s="143"/>
    </row>
    <row r="514" spans="1:34" ht="47.2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W514" s="3"/>
      <c r="X514" s="451" t="s">
        <v>41</v>
      </c>
      <c r="Y514" s="452" t="s">
        <v>6</v>
      </c>
      <c r="Z514" s="453" t="s">
        <v>29</v>
      </c>
      <c r="AA514" s="453" t="s">
        <v>7</v>
      </c>
      <c r="AB514" s="542" t="s">
        <v>285</v>
      </c>
      <c r="AC514" s="482">
        <v>100</v>
      </c>
      <c r="AD514" s="672">
        <f>AD515</f>
        <v>2501</v>
      </c>
      <c r="AE514" s="634">
        <f>AE515</f>
        <v>2279.5</v>
      </c>
      <c r="AF514" s="645">
        <f>AF515</f>
        <v>2279.5</v>
      </c>
      <c r="AG514" s="143"/>
      <c r="AH514" s="143"/>
    </row>
    <row r="515" spans="1:34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W515" s="3"/>
      <c r="X515" s="451" t="s">
        <v>96</v>
      </c>
      <c r="Y515" s="452" t="s">
        <v>6</v>
      </c>
      <c r="Z515" s="453" t="s">
        <v>29</v>
      </c>
      <c r="AA515" s="453" t="s">
        <v>7</v>
      </c>
      <c r="AB515" s="542" t="s">
        <v>285</v>
      </c>
      <c r="AC515" s="454">
        <v>120</v>
      </c>
      <c r="AD515" s="672">
        <f>2279.5+221.5</f>
        <v>2501</v>
      </c>
      <c r="AE515" s="634">
        <v>2279.5</v>
      </c>
      <c r="AF515" s="645">
        <v>2279.5</v>
      </c>
      <c r="AG515" s="143"/>
      <c r="AH515" s="143"/>
    </row>
    <row r="516" spans="1:34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R516" s="3"/>
      <c r="S516" s="3"/>
      <c r="W516" s="3"/>
      <c r="X516" s="465" t="s">
        <v>282</v>
      </c>
      <c r="Y516" s="452" t="s">
        <v>6</v>
      </c>
      <c r="Z516" s="453" t="s">
        <v>29</v>
      </c>
      <c r="AA516" s="453" t="s">
        <v>7</v>
      </c>
      <c r="AB516" s="542" t="s">
        <v>283</v>
      </c>
      <c r="AC516" s="454"/>
      <c r="AD516" s="672">
        <f>AD517+AD520+AD523</f>
        <v>13054.3</v>
      </c>
      <c r="AE516" s="634">
        <f>AE517+AE520+AE523</f>
        <v>11525.4</v>
      </c>
      <c r="AF516" s="645">
        <f>AF517+AF520+AF523</f>
        <v>11525.4</v>
      </c>
      <c r="AG516" s="143"/>
      <c r="AH516" s="143"/>
    </row>
    <row r="517" spans="1:34" ht="31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R517" s="3"/>
      <c r="S517" s="3"/>
      <c r="W517" s="3"/>
      <c r="X517" s="451" t="s">
        <v>286</v>
      </c>
      <c r="Y517" s="452" t="s">
        <v>6</v>
      </c>
      <c r="Z517" s="453" t="s">
        <v>29</v>
      </c>
      <c r="AA517" s="453" t="s">
        <v>7</v>
      </c>
      <c r="AB517" s="542" t="s">
        <v>287</v>
      </c>
      <c r="AC517" s="454"/>
      <c r="AD517" s="672">
        <f t="shared" ref="AD517:AF518" si="148">AD518</f>
        <v>2929.9</v>
      </c>
      <c r="AE517" s="634">
        <f t="shared" si="148"/>
        <v>1849.9</v>
      </c>
      <c r="AF517" s="645">
        <f t="shared" si="148"/>
        <v>1849.9</v>
      </c>
      <c r="AG517" s="143"/>
      <c r="AH517" s="143"/>
    </row>
    <row r="518" spans="1:34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R518" s="3"/>
      <c r="S518" s="3"/>
      <c r="W518" s="3"/>
      <c r="X518" s="451" t="s">
        <v>120</v>
      </c>
      <c r="Y518" s="452" t="s">
        <v>6</v>
      </c>
      <c r="Z518" s="453" t="s">
        <v>29</v>
      </c>
      <c r="AA518" s="453" t="s">
        <v>7</v>
      </c>
      <c r="AB518" s="542" t="s">
        <v>287</v>
      </c>
      <c r="AC518" s="454">
        <v>200</v>
      </c>
      <c r="AD518" s="672">
        <f t="shared" si="148"/>
        <v>2929.9</v>
      </c>
      <c r="AE518" s="634">
        <f t="shared" si="148"/>
        <v>1849.9</v>
      </c>
      <c r="AF518" s="645">
        <f t="shared" si="148"/>
        <v>1849.9</v>
      </c>
      <c r="AG518" s="143"/>
      <c r="AH518" s="143"/>
    </row>
    <row r="519" spans="1:34" ht="31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R519" s="3"/>
      <c r="S519" s="3"/>
      <c r="W519" s="3"/>
      <c r="X519" s="451" t="s">
        <v>52</v>
      </c>
      <c r="Y519" s="452" t="s">
        <v>6</v>
      </c>
      <c r="Z519" s="453" t="s">
        <v>29</v>
      </c>
      <c r="AA519" s="453" t="s">
        <v>7</v>
      </c>
      <c r="AB519" s="542" t="s">
        <v>287</v>
      </c>
      <c r="AC519" s="454">
        <v>240</v>
      </c>
      <c r="AD519" s="672">
        <f>1849.9-20+1100</f>
        <v>2929.9</v>
      </c>
      <c r="AE519" s="634">
        <v>1849.9</v>
      </c>
      <c r="AF519" s="645">
        <v>1849.9</v>
      </c>
      <c r="AG519" s="265"/>
      <c r="AH519" s="143"/>
    </row>
    <row r="520" spans="1:34" ht="47.2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R520" s="3"/>
      <c r="S520" s="3"/>
      <c r="W520" s="3"/>
      <c r="X520" s="451" t="s">
        <v>290</v>
      </c>
      <c r="Y520" s="452" t="s">
        <v>6</v>
      </c>
      <c r="Z520" s="453" t="s">
        <v>29</v>
      </c>
      <c r="AA520" s="453" t="s">
        <v>7</v>
      </c>
      <c r="AB520" s="542" t="s">
        <v>288</v>
      </c>
      <c r="AC520" s="454"/>
      <c r="AD520" s="672">
        <f t="shared" ref="AD520:AF521" si="149">AD521</f>
        <v>5228</v>
      </c>
      <c r="AE520" s="634">
        <f t="shared" si="149"/>
        <v>4779.1000000000004</v>
      </c>
      <c r="AF520" s="645">
        <f t="shared" si="149"/>
        <v>4779.1000000000004</v>
      </c>
      <c r="AG520" s="143"/>
      <c r="AH520" s="143"/>
    </row>
    <row r="521" spans="1:34" ht="47.2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R521" s="3"/>
      <c r="S521" s="3"/>
      <c r="W521" s="3"/>
      <c r="X521" s="451" t="s">
        <v>41</v>
      </c>
      <c r="Y521" s="452" t="s">
        <v>6</v>
      </c>
      <c r="Z521" s="453" t="s">
        <v>29</v>
      </c>
      <c r="AA521" s="453" t="s">
        <v>7</v>
      </c>
      <c r="AB521" s="542" t="s">
        <v>288</v>
      </c>
      <c r="AC521" s="482">
        <v>100</v>
      </c>
      <c r="AD521" s="672">
        <f t="shared" si="149"/>
        <v>5228</v>
      </c>
      <c r="AE521" s="634">
        <f t="shared" si="149"/>
        <v>4779.1000000000004</v>
      </c>
      <c r="AF521" s="645">
        <f t="shared" si="149"/>
        <v>4779.1000000000004</v>
      </c>
      <c r="AG521" s="143"/>
      <c r="AH521" s="143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W522" s="3"/>
      <c r="X522" s="451" t="s">
        <v>96</v>
      </c>
      <c r="Y522" s="452" t="s">
        <v>6</v>
      </c>
      <c r="Z522" s="453" t="s">
        <v>29</v>
      </c>
      <c r="AA522" s="453" t="s">
        <v>7</v>
      </c>
      <c r="AB522" s="542" t="s">
        <v>288</v>
      </c>
      <c r="AC522" s="454">
        <v>120</v>
      </c>
      <c r="AD522" s="672">
        <f>4779.1+448.9</f>
        <v>5228</v>
      </c>
      <c r="AE522" s="634">
        <v>4779.1000000000004</v>
      </c>
      <c r="AF522" s="645">
        <v>4779.1000000000004</v>
      </c>
      <c r="AG522" s="143"/>
      <c r="AH522" s="143"/>
    </row>
    <row r="523" spans="1:34" ht="31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W523" s="3"/>
      <c r="X523" s="451" t="s">
        <v>291</v>
      </c>
      <c r="Y523" s="452" t="s">
        <v>6</v>
      </c>
      <c r="Z523" s="453" t="s">
        <v>29</v>
      </c>
      <c r="AA523" s="453" t="s">
        <v>7</v>
      </c>
      <c r="AB523" s="542" t="s">
        <v>289</v>
      </c>
      <c r="AC523" s="454"/>
      <c r="AD523" s="672">
        <f t="shared" ref="AD523:AF524" si="150">AD524</f>
        <v>4896.3999999999996</v>
      </c>
      <c r="AE523" s="634">
        <f t="shared" si="150"/>
        <v>4896.3999999999996</v>
      </c>
      <c r="AF523" s="645">
        <f t="shared" si="150"/>
        <v>4896.3999999999996</v>
      </c>
      <c r="AG523" s="143"/>
      <c r="AH523" s="143"/>
    </row>
    <row r="524" spans="1:34" ht="47.2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W524" s="3"/>
      <c r="X524" s="451" t="s">
        <v>41</v>
      </c>
      <c r="Y524" s="452" t="s">
        <v>6</v>
      </c>
      <c r="Z524" s="453" t="s">
        <v>29</v>
      </c>
      <c r="AA524" s="453" t="s">
        <v>7</v>
      </c>
      <c r="AB524" s="542" t="s">
        <v>289</v>
      </c>
      <c r="AC524" s="482">
        <v>100</v>
      </c>
      <c r="AD524" s="672">
        <f t="shared" si="150"/>
        <v>4896.3999999999996</v>
      </c>
      <c r="AE524" s="634">
        <f t="shared" si="150"/>
        <v>4896.3999999999996</v>
      </c>
      <c r="AF524" s="645">
        <f t="shared" si="150"/>
        <v>4896.3999999999996</v>
      </c>
      <c r="AG524" s="143"/>
      <c r="AH524" s="143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W525" s="3"/>
      <c r="X525" s="451" t="s">
        <v>96</v>
      </c>
      <c r="Y525" s="452" t="s">
        <v>6</v>
      </c>
      <c r="Z525" s="453" t="s">
        <v>29</v>
      </c>
      <c r="AA525" s="453" t="s">
        <v>7</v>
      </c>
      <c r="AB525" s="542" t="s">
        <v>289</v>
      </c>
      <c r="AC525" s="454">
        <v>120</v>
      </c>
      <c r="AD525" s="672">
        <v>4896.3999999999996</v>
      </c>
      <c r="AE525" s="634">
        <v>4896.3999999999996</v>
      </c>
      <c r="AF525" s="645">
        <v>4896.3999999999996</v>
      </c>
      <c r="AG525" s="143"/>
      <c r="AH525" s="143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W526" s="3"/>
      <c r="X526" s="653" t="s">
        <v>94</v>
      </c>
      <c r="Y526" s="448" t="s">
        <v>6</v>
      </c>
      <c r="Z526" s="471" t="s">
        <v>36</v>
      </c>
      <c r="AA526" s="540"/>
      <c r="AB526" s="539"/>
      <c r="AC526" s="476"/>
      <c r="AD526" s="671">
        <f t="shared" ref="AD526:AF532" si="151">AD527</f>
        <v>472.7</v>
      </c>
      <c r="AE526" s="633">
        <f t="shared" si="151"/>
        <v>472.7</v>
      </c>
      <c r="AF526" s="644">
        <f t="shared" si="151"/>
        <v>472.7</v>
      </c>
      <c r="AG526" s="143"/>
      <c r="AH526" s="143"/>
    </row>
    <row r="527" spans="1:34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W527" s="3"/>
      <c r="X527" s="451" t="s">
        <v>55</v>
      </c>
      <c r="Y527" s="452" t="s">
        <v>6</v>
      </c>
      <c r="Z527" s="453">
        <v>10</v>
      </c>
      <c r="AA527" s="453" t="s">
        <v>29</v>
      </c>
      <c r="AB527" s="541"/>
      <c r="AC527" s="450"/>
      <c r="AD527" s="672">
        <f t="shared" si="151"/>
        <v>472.7</v>
      </c>
      <c r="AE527" s="634">
        <f t="shared" si="151"/>
        <v>472.7</v>
      </c>
      <c r="AF527" s="645">
        <f t="shared" si="151"/>
        <v>472.7</v>
      </c>
      <c r="AG527" s="143"/>
      <c r="AH527" s="143"/>
    </row>
    <row r="528" spans="1:34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W528" s="3"/>
      <c r="X528" s="457" t="s">
        <v>292</v>
      </c>
      <c r="Y528" s="452" t="s">
        <v>6</v>
      </c>
      <c r="Z528" s="453">
        <v>10</v>
      </c>
      <c r="AA528" s="453" t="s">
        <v>29</v>
      </c>
      <c r="AB528" s="542" t="s">
        <v>109</v>
      </c>
      <c r="AC528" s="450"/>
      <c r="AD528" s="672">
        <f t="shared" si="151"/>
        <v>472.7</v>
      </c>
      <c r="AE528" s="634">
        <f t="shared" si="151"/>
        <v>472.7</v>
      </c>
      <c r="AF528" s="645">
        <f t="shared" si="151"/>
        <v>472.7</v>
      </c>
      <c r="AG528" s="143"/>
      <c r="AH528" s="143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W529" s="3"/>
      <c r="X529" s="457" t="s">
        <v>293</v>
      </c>
      <c r="Y529" s="452" t="s">
        <v>6</v>
      </c>
      <c r="Z529" s="453">
        <v>10</v>
      </c>
      <c r="AA529" s="453" t="s">
        <v>29</v>
      </c>
      <c r="AB529" s="542" t="s">
        <v>118</v>
      </c>
      <c r="AC529" s="450"/>
      <c r="AD529" s="672">
        <f t="shared" si="151"/>
        <v>472.7</v>
      </c>
      <c r="AE529" s="634">
        <f t="shared" si="151"/>
        <v>472.7</v>
      </c>
      <c r="AF529" s="645">
        <f t="shared" si="151"/>
        <v>472.7</v>
      </c>
      <c r="AG529" s="143"/>
      <c r="AH529" s="143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W530" s="3"/>
      <c r="X530" s="457" t="s">
        <v>466</v>
      </c>
      <c r="Y530" s="452" t="s">
        <v>6</v>
      </c>
      <c r="Z530" s="453">
        <v>10</v>
      </c>
      <c r="AA530" s="453" t="s">
        <v>29</v>
      </c>
      <c r="AB530" s="542" t="s">
        <v>465</v>
      </c>
      <c r="AC530" s="450"/>
      <c r="AD530" s="672">
        <f t="shared" si="151"/>
        <v>472.7</v>
      </c>
      <c r="AE530" s="634">
        <f t="shared" si="151"/>
        <v>472.7</v>
      </c>
      <c r="AF530" s="645">
        <f t="shared" si="151"/>
        <v>472.7</v>
      </c>
      <c r="AG530" s="143"/>
      <c r="AH530" s="143"/>
    </row>
    <row r="531" spans="1:34" ht="31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W531" s="3"/>
      <c r="X531" s="466" t="s">
        <v>295</v>
      </c>
      <c r="Y531" s="452" t="s">
        <v>6</v>
      </c>
      <c r="Z531" s="453">
        <v>10</v>
      </c>
      <c r="AA531" s="453" t="s">
        <v>29</v>
      </c>
      <c r="AB531" s="542" t="s">
        <v>464</v>
      </c>
      <c r="AC531" s="450"/>
      <c r="AD531" s="672">
        <f t="shared" si="151"/>
        <v>472.7</v>
      </c>
      <c r="AE531" s="634">
        <f t="shared" si="151"/>
        <v>472.7</v>
      </c>
      <c r="AF531" s="645">
        <f t="shared" si="151"/>
        <v>472.7</v>
      </c>
      <c r="AG531" s="143"/>
      <c r="AH531" s="143"/>
    </row>
    <row r="532" spans="1:34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W532" s="3"/>
      <c r="X532" s="451" t="s">
        <v>97</v>
      </c>
      <c r="Y532" s="452" t="s">
        <v>6</v>
      </c>
      <c r="Z532" s="453">
        <v>10</v>
      </c>
      <c r="AA532" s="453" t="s">
        <v>29</v>
      </c>
      <c r="AB532" s="542" t="s">
        <v>464</v>
      </c>
      <c r="AC532" s="454">
        <v>300</v>
      </c>
      <c r="AD532" s="672">
        <f t="shared" si="151"/>
        <v>472.7</v>
      </c>
      <c r="AE532" s="634">
        <f t="shared" si="151"/>
        <v>472.7</v>
      </c>
      <c r="AF532" s="645">
        <f t="shared" si="151"/>
        <v>472.7</v>
      </c>
      <c r="AG532" s="143"/>
      <c r="AH532" s="143"/>
    </row>
    <row r="533" spans="1:3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W533" s="3"/>
      <c r="X533" s="451" t="s">
        <v>40</v>
      </c>
      <c r="Y533" s="452" t="s">
        <v>6</v>
      </c>
      <c r="Z533" s="453">
        <v>10</v>
      </c>
      <c r="AA533" s="453" t="s">
        <v>29</v>
      </c>
      <c r="AB533" s="542" t="s">
        <v>464</v>
      </c>
      <c r="AC533" s="454">
        <v>320</v>
      </c>
      <c r="AD533" s="672">
        <v>472.7</v>
      </c>
      <c r="AE533" s="634">
        <v>472.7</v>
      </c>
      <c r="AF533" s="645">
        <v>472.7</v>
      </c>
      <c r="AG533" s="143"/>
      <c r="AH533" s="143"/>
    </row>
    <row r="534" spans="1:34" ht="18.7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W534" s="3"/>
      <c r="X534" s="653" t="s">
        <v>410</v>
      </c>
      <c r="Y534" s="448" t="s">
        <v>26</v>
      </c>
      <c r="Z534" s="481"/>
      <c r="AA534" s="487"/>
      <c r="AB534" s="547"/>
      <c r="AC534" s="483"/>
      <c r="AD534" s="671">
        <f>AD535+AD560</f>
        <v>45856.700000000004</v>
      </c>
      <c r="AE534" s="633">
        <f>AE535+AE560</f>
        <v>34510.700000000004</v>
      </c>
      <c r="AF534" s="644">
        <f>AF535+AF560</f>
        <v>35827.200000000004</v>
      </c>
      <c r="AG534" s="143"/>
      <c r="AH534" s="143"/>
    </row>
    <row r="535" spans="1:34" ht="18.7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W535" s="3"/>
      <c r="X535" s="653" t="s">
        <v>25</v>
      </c>
      <c r="Y535" s="448" t="s">
        <v>26</v>
      </c>
      <c r="Z535" s="449" t="s">
        <v>29</v>
      </c>
      <c r="AA535" s="552"/>
      <c r="AB535" s="553"/>
      <c r="AC535" s="484"/>
      <c r="AD535" s="671">
        <f>AD536+AD554</f>
        <v>44818.8</v>
      </c>
      <c r="AE535" s="671">
        <f t="shared" ref="AE535:AF535" si="152">AE536+AE554</f>
        <v>33472.800000000003</v>
      </c>
      <c r="AF535" s="671">
        <f t="shared" si="152"/>
        <v>34789.300000000003</v>
      </c>
      <c r="AG535" s="143"/>
      <c r="AH535" s="143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W536" s="3"/>
      <c r="X536" s="451" t="s">
        <v>411</v>
      </c>
      <c r="Y536" s="452" t="s">
        <v>26</v>
      </c>
      <c r="Z536" s="453" t="s">
        <v>29</v>
      </c>
      <c r="AA536" s="453" t="s">
        <v>95</v>
      </c>
      <c r="AB536" s="545"/>
      <c r="AC536" s="454"/>
      <c r="AD536" s="672">
        <f t="shared" ref="AD536:AF537" si="153">AD537</f>
        <v>32019.100000000002</v>
      </c>
      <c r="AE536" s="634">
        <f t="shared" si="153"/>
        <v>31966.9</v>
      </c>
      <c r="AF536" s="645">
        <f t="shared" si="153"/>
        <v>32226.600000000002</v>
      </c>
      <c r="AG536" s="143"/>
      <c r="AH536" s="143"/>
    </row>
    <row r="537" spans="1:34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W537" s="3"/>
      <c r="X537" s="457" t="s">
        <v>186</v>
      </c>
      <c r="Y537" s="452" t="s">
        <v>26</v>
      </c>
      <c r="Z537" s="453" t="s">
        <v>29</v>
      </c>
      <c r="AA537" s="453" t="s">
        <v>95</v>
      </c>
      <c r="AB537" s="542" t="s">
        <v>112</v>
      </c>
      <c r="AC537" s="454"/>
      <c r="AD537" s="672">
        <f t="shared" si="153"/>
        <v>32019.100000000002</v>
      </c>
      <c r="AE537" s="634">
        <f t="shared" si="153"/>
        <v>31966.9</v>
      </c>
      <c r="AF537" s="645">
        <f t="shared" si="153"/>
        <v>32226.600000000002</v>
      </c>
      <c r="AG537" s="143"/>
      <c r="AH537" s="143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W538" s="3"/>
      <c r="X538" s="457" t="s">
        <v>189</v>
      </c>
      <c r="Y538" s="452" t="s">
        <v>26</v>
      </c>
      <c r="Z538" s="453" t="s">
        <v>29</v>
      </c>
      <c r="AA538" s="453" t="s">
        <v>95</v>
      </c>
      <c r="AB538" s="542" t="s">
        <v>190</v>
      </c>
      <c r="AC538" s="454"/>
      <c r="AD538" s="672">
        <f>AD539+AD550</f>
        <v>32019.100000000002</v>
      </c>
      <c r="AE538" s="634">
        <f>AE539+AE550</f>
        <v>31966.9</v>
      </c>
      <c r="AF538" s="645">
        <f>AF539+AF550</f>
        <v>32226.600000000002</v>
      </c>
      <c r="AG538" s="143"/>
      <c r="AH538" s="143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W539" s="3"/>
      <c r="X539" s="457" t="s">
        <v>191</v>
      </c>
      <c r="Y539" s="452" t="s">
        <v>26</v>
      </c>
      <c r="Z539" s="453" t="s">
        <v>29</v>
      </c>
      <c r="AA539" s="453" t="s">
        <v>95</v>
      </c>
      <c r="AB539" s="542" t="s">
        <v>192</v>
      </c>
      <c r="AC539" s="454"/>
      <c r="AD539" s="672">
        <f>AD540</f>
        <v>31825.4</v>
      </c>
      <c r="AE539" s="634">
        <f>AE540</f>
        <v>31765.600000000002</v>
      </c>
      <c r="AF539" s="645">
        <f>AF540</f>
        <v>31765.600000000002</v>
      </c>
      <c r="AG539" s="143"/>
      <c r="AH539" s="143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W540" s="3"/>
      <c r="X540" s="465" t="s">
        <v>209</v>
      </c>
      <c r="Y540" s="452" t="s">
        <v>26</v>
      </c>
      <c r="Z540" s="453" t="s">
        <v>29</v>
      </c>
      <c r="AA540" s="453" t="s">
        <v>95</v>
      </c>
      <c r="AB540" s="544" t="s">
        <v>210</v>
      </c>
      <c r="AC540" s="454"/>
      <c r="AD540" s="672">
        <f>AD541+AD544+AD547</f>
        <v>31825.4</v>
      </c>
      <c r="AE540" s="634">
        <f>AE541+AE544+AE547</f>
        <v>31765.600000000002</v>
      </c>
      <c r="AF540" s="645">
        <f>AF541+AF544+AF547</f>
        <v>31765.600000000002</v>
      </c>
      <c r="AG540" s="143"/>
      <c r="AH540" s="143"/>
    </row>
    <row r="541" spans="1:34" ht="31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W541" s="3"/>
      <c r="X541" s="451" t="s">
        <v>211</v>
      </c>
      <c r="Y541" s="452" t="s">
        <v>26</v>
      </c>
      <c r="Z541" s="453" t="s">
        <v>29</v>
      </c>
      <c r="AA541" s="453" t="s">
        <v>95</v>
      </c>
      <c r="AB541" s="544" t="s">
        <v>212</v>
      </c>
      <c r="AC541" s="454"/>
      <c r="AD541" s="672">
        <f>AD542</f>
        <v>3669.3</v>
      </c>
      <c r="AE541" s="634">
        <f t="shared" ref="AE541:AF541" si="154">AE542</f>
        <v>3657.8</v>
      </c>
      <c r="AF541" s="645">
        <f t="shared" si="154"/>
        <v>3657.8</v>
      </c>
      <c r="AG541" s="143"/>
      <c r="AH541" s="143"/>
    </row>
    <row r="542" spans="1:34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W542" s="3"/>
      <c r="X542" s="451" t="s">
        <v>120</v>
      </c>
      <c r="Y542" s="452" t="s">
        <v>26</v>
      </c>
      <c r="Z542" s="453" t="s">
        <v>29</v>
      </c>
      <c r="AA542" s="453" t="s">
        <v>95</v>
      </c>
      <c r="AB542" s="544" t="s">
        <v>212</v>
      </c>
      <c r="AC542" s="454">
        <v>200</v>
      </c>
      <c r="AD542" s="672">
        <f>AD543</f>
        <v>3669.3</v>
      </c>
      <c r="AE542" s="634">
        <f>AE543</f>
        <v>3657.8</v>
      </c>
      <c r="AF542" s="645">
        <f>AF543</f>
        <v>3657.8</v>
      </c>
      <c r="AG542" s="143"/>
      <c r="AH542" s="143"/>
    </row>
    <row r="543" spans="1:34" ht="31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W543" s="3"/>
      <c r="X543" s="451" t="s">
        <v>52</v>
      </c>
      <c r="Y543" s="452" t="s">
        <v>26</v>
      </c>
      <c r="Z543" s="453" t="s">
        <v>29</v>
      </c>
      <c r="AA543" s="453" t="s">
        <v>95</v>
      </c>
      <c r="AB543" s="544" t="s">
        <v>212</v>
      </c>
      <c r="AC543" s="454">
        <v>240</v>
      </c>
      <c r="AD543" s="672">
        <f>3657.8+11.5</f>
        <v>3669.3</v>
      </c>
      <c r="AE543" s="634">
        <v>3657.8</v>
      </c>
      <c r="AF543" s="645">
        <v>3657.8</v>
      </c>
      <c r="AG543" s="143"/>
      <c r="AH543" s="143"/>
    </row>
    <row r="544" spans="1:34" ht="31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W544" s="3"/>
      <c r="X544" s="451" t="s">
        <v>216</v>
      </c>
      <c r="Y544" s="452" t="s">
        <v>26</v>
      </c>
      <c r="Z544" s="453" t="s">
        <v>29</v>
      </c>
      <c r="AA544" s="453" t="s">
        <v>95</v>
      </c>
      <c r="AB544" s="541" t="str">
        <f>AB545</f>
        <v>12 5 01 00162</v>
      </c>
      <c r="AC544" s="454"/>
      <c r="AD544" s="672">
        <f>AD546</f>
        <v>15536.1</v>
      </c>
      <c r="AE544" s="634">
        <f>AE546</f>
        <v>15536.1</v>
      </c>
      <c r="AF544" s="645">
        <f>AF546</f>
        <v>15536.1</v>
      </c>
      <c r="AG544" s="143"/>
      <c r="AH544" s="143"/>
    </row>
    <row r="545" spans="1:34" ht="47.2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W545" s="3"/>
      <c r="X545" s="451" t="s">
        <v>41</v>
      </c>
      <c r="Y545" s="452" t="s">
        <v>26</v>
      </c>
      <c r="Z545" s="453" t="s">
        <v>29</v>
      </c>
      <c r="AA545" s="453" t="s">
        <v>95</v>
      </c>
      <c r="AB545" s="541" t="str">
        <f>AB546</f>
        <v>12 5 01 00162</v>
      </c>
      <c r="AC545" s="454">
        <v>100</v>
      </c>
      <c r="AD545" s="672">
        <f>AD546</f>
        <v>15536.1</v>
      </c>
      <c r="AE545" s="634">
        <f>AE546</f>
        <v>15536.1</v>
      </c>
      <c r="AF545" s="645">
        <f>AF546</f>
        <v>15536.1</v>
      </c>
      <c r="AG545" s="143"/>
      <c r="AH545" s="143"/>
    </row>
    <row r="546" spans="1:34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W546" s="3"/>
      <c r="X546" s="451" t="s">
        <v>96</v>
      </c>
      <c r="Y546" s="452" t="s">
        <v>26</v>
      </c>
      <c r="Z546" s="453" t="s">
        <v>29</v>
      </c>
      <c r="AA546" s="453" t="s">
        <v>95</v>
      </c>
      <c r="AB546" s="544" t="s">
        <v>213</v>
      </c>
      <c r="AC546" s="454">
        <v>120</v>
      </c>
      <c r="AD546" s="672">
        <f>18060.7-2524.6</f>
        <v>15536.1</v>
      </c>
      <c r="AE546" s="634">
        <f>18060.7-2524.6</f>
        <v>15536.1</v>
      </c>
      <c r="AF546" s="645">
        <f>18060.7-2524.6</f>
        <v>15536.1</v>
      </c>
      <c r="AG546" s="143"/>
      <c r="AH546" s="143"/>
    </row>
    <row r="547" spans="1:34" ht="31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W547" s="3"/>
      <c r="X547" s="451" t="s">
        <v>215</v>
      </c>
      <c r="Y547" s="452" t="s">
        <v>26</v>
      </c>
      <c r="Z547" s="453" t="s">
        <v>29</v>
      </c>
      <c r="AA547" s="453" t="s">
        <v>95</v>
      </c>
      <c r="AB547" s="541" t="str">
        <f>AB548</f>
        <v>12 5 01 00163</v>
      </c>
      <c r="AC547" s="454"/>
      <c r="AD547" s="672">
        <f>AD549</f>
        <v>12620</v>
      </c>
      <c r="AE547" s="634">
        <f>AE549</f>
        <v>12571.7</v>
      </c>
      <c r="AF547" s="645">
        <f>AF549</f>
        <v>12571.7</v>
      </c>
      <c r="AG547" s="143"/>
      <c r="AH547" s="143"/>
    </row>
    <row r="548" spans="1:34" ht="47.2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W548" s="3"/>
      <c r="X548" s="451" t="s">
        <v>41</v>
      </c>
      <c r="Y548" s="452" t="s">
        <v>26</v>
      </c>
      <c r="Z548" s="453" t="s">
        <v>29</v>
      </c>
      <c r="AA548" s="453" t="s">
        <v>95</v>
      </c>
      <c r="AB548" s="541" t="str">
        <f>AB549</f>
        <v>12 5 01 00163</v>
      </c>
      <c r="AC548" s="454">
        <v>100</v>
      </c>
      <c r="AD548" s="672">
        <f>AD549</f>
        <v>12620</v>
      </c>
      <c r="AE548" s="634">
        <f>AE549</f>
        <v>12571.7</v>
      </c>
      <c r="AF548" s="645">
        <f>AF549</f>
        <v>12571.7</v>
      </c>
      <c r="AG548" s="143"/>
      <c r="AH548" s="143"/>
    </row>
    <row r="549" spans="1:34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W549" s="3"/>
      <c r="X549" s="451" t="s">
        <v>96</v>
      </c>
      <c r="Y549" s="452" t="s">
        <v>26</v>
      </c>
      <c r="Z549" s="453" t="s">
        <v>29</v>
      </c>
      <c r="AA549" s="453" t="s">
        <v>95</v>
      </c>
      <c r="AB549" s="544" t="s">
        <v>214</v>
      </c>
      <c r="AC549" s="454">
        <v>120</v>
      </c>
      <c r="AD549" s="672">
        <f>12571.7+48.3</f>
        <v>12620</v>
      </c>
      <c r="AE549" s="634">
        <v>12571.7</v>
      </c>
      <c r="AF549" s="645">
        <v>12571.7</v>
      </c>
      <c r="AG549" s="143"/>
      <c r="AH549" s="143"/>
    </row>
    <row r="550" spans="1:34" ht="31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W550" s="3"/>
      <c r="X550" s="451" t="s">
        <v>534</v>
      </c>
      <c r="Y550" s="452" t="s">
        <v>26</v>
      </c>
      <c r="Z550" s="453" t="s">
        <v>29</v>
      </c>
      <c r="AA550" s="453" t="s">
        <v>95</v>
      </c>
      <c r="AB550" s="544" t="s">
        <v>535</v>
      </c>
      <c r="AC550" s="454"/>
      <c r="AD550" s="672">
        <f>AD551</f>
        <v>193.7</v>
      </c>
      <c r="AE550" s="634">
        <f t="shared" ref="AE550:AF552" si="155">AE551</f>
        <v>201.3</v>
      </c>
      <c r="AF550" s="645">
        <f t="shared" si="155"/>
        <v>461</v>
      </c>
      <c r="AG550" s="143"/>
      <c r="AH550" s="143"/>
    </row>
    <row r="551" spans="1:34" ht="78.7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W551" s="3"/>
      <c r="X551" s="451" t="s">
        <v>406</v>
      </c>
      <c r="Y551" s="452" t="s">
        <v>26</v>
      </c>
      <c r="Z551" s="453" t="s">
        <v>29</v>
      </c>
      <c r="AA551" s="453" t="s">
        <v>95</v>
      </c>
      <c r="AB551" s="542" t="s">
        <v>536</v>
      </c>
      <c r="AC551" s="454"/>
      <c r="AD551" s="672">
        <f>AD552</f>
        <v>193.7</v>
      </c>
      <c r="AE551" s="634">
        <f t="shared" si="155"/>
        <v>201.3</v>
      </c>
      <c r="AF551" s="645">
        <f t="shared" si="155"/>
        <v>461</v>
      </c>
      <c r="AG551" s="143"/>
      <c r="AH551" s="143"/>
    </row>
    <row r="552" spans="1:34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W552" s="3"/>
      <c r="X552" s="451" t="s">
        <v>120</v>
      </c>
      <c r="Y552" s="452" t="s">
        <v>26</v>
      </c>
      <c r="Z552" s="453" t="s">
        <v>29</v>
      </c>
      <c r="AA552" s="453" t="s">
        <v>95</v>
      </c>
      <c r="AB552" s="542" t="s">
        <v>536</v>
      </c>
      <c r="AC552" s="454">
        <v>200</v>
      </c>
      <c r="AD552" s="672">
        <f>AD553</f>
        <v>193.7</v>
      </c>
      <c r="AE552" s="634">
        <f t="shared" si="155"/>
        <v>201.3</v>
      </c>
      <c r="AF552" s="645">
        <f t="shared" si="155"/>
        <v>461</v>
      </c>
      <c r="AG552" s="143"/>
      <c r="AH552" s="143"/>
    </row>
    <row r="553" spans="1:34" ht="31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W553" s="3"/>
      <c r="X553" s="451" t="s">
        <v>52</v>
      </c>
      <c r="Y553" s="452" t="s">
        <v>26</v>
      </c>
      <c r="Z553" s="453" t="s">
        <v>29</v>
      </c>
      <c r="AA553" s="453" t="s">
        <v>95</v>
      </c>
      <c r="AB553" s="542" t="s">
        <v>536</v>
      </c>
      <c r="AC553" s="454">
        <v>240</v>
      </c>
      <c r="AD553" s="672">
        <v>193.7</v>
      </c>
      <c r="AE553" s="634">
        <v>201.3</v>
      </c>
      <c r="AF553" s="645">
        <v>461</v>
      </c>
      <c r="AG553" s="143"/>
      <c r="AH553" s="143"/>
    </row>
    <row r="554" spans="1:3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W554" s="3"/>
      <c r="X554" s="451" t="s">
        <v>14</v>
      </c>
      <c r="Y554" s="452" t="s">
        <v>26</v>
      </c>
      <c r="Z554" s="453" t="s">
        <v>29</v>
      </c>
      <c r="AA554" s="453">
        <v>13</v>
      </c>
      <c r="AB554" s="545"/>
      <c r="AC554" s="454"/>
      <c r="AD554" s="672">
        <f>AD555</f>
        <v>12799.7</v>
      </c>
      <c r="AE554" s="672">
        <f t="shared" ref="AE554:AF556" si="156">AE555</f>
        <v>1505.8999999999996</v>
      </c>
      <c r="AF554" s="672">
        <f t="shared" si="156"/>
        <v>2562.7000000000003</v>
      </c>
      <c r="AG554" s="143"/>
      <c r="AH554" s="143"/>
    </row>
    <row r="555" spans="1:3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W555" s="3"/>
      <c r="X555" s="457" t="s">
        <v>225</v>
      </c>
      <c r="Y555" s="452" t="s">
        <v>26</v>
      </c>
      <c r="Z555" s="453" t="s">
        <v>29</v>
      </c>
      <c r="AA555" s="453">
        <v>13</v>
      </c>
      <c r="AB555" s="542" t="s">
        <v>137</v>
      </c>
      <c r="AC555" s="454"/>
      <c r="AD555" s="672">
        <f>AD556</f>
        <v>12799.7</v>
      </c>
      <c r="AE555" s="672">
        <f t="shared" si="156"/>
        <v>1505.8999999999996</v>
      </c>
      <c r="AF555" s="672">
        <f t="shared" si="156"/>
        <v>2562.7000000000003</v>
      </c>
      <c r="AG555" s="143"/>
      <c r="AH555" s="143"/>
    </row>
    <row r="556" spans="1:34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W556" s="3"/>
      <c r="X556" s="451" t="s">
        <v>427</v>
      </c>
      <c r="Y556" s="452" t="s">
        <v>26</v>
      </c>
      <c r="Z556" s="469" t="s">
        <v>29</v>
      </c>
      <c r="AA556" s="469">
        <v>13</v>
      </c>
      <c r="AB556" s="546" t="s">
        <v>428</v>
      </c>
      <c r="AC556" s="454"/>
      <c r="AD556" s="672">
        <f>AD557</f>
        <v>12799.7</v>
      </c>
      <c r="AE556" s="672">
        <f t="shared" si="156"/>
        <v>1505.8999999999996</v>
      </c>
      <c r="AF556" s="672">
        <f t="shared" si="156"/>
        <v>2562.7000000000003</v>
      </c>
      <c r="AG556" s="143"/>
      <c r="AH556" s="143"/>
    </row>
    <row r="557" spans="1:34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W557" s="3"/>
      <c r="X557" s="451" t="s">
        <v>430</v>
      </c>
      <c r="Y557" s="452" t="s">
        <v>26</v>
      </c>
      <c r="Z557" s="469" t="s">
        <v>29</v>
      </c>
      <c r="AA557" s="469">
        <v>13</v>
      </c>
      <c r="AB557" s="546" t="s">
        <v>431</v>
      </c>
      <c r="AC557" s="470"/>
      <c r="AD557" s="672">
        <f t="shared" ref="AD557:AF558" si="157">AD558</f>
        <v>12799.7</v>
      </c>
      <c r="AE557" s="634">
        <f t="shared" si="157"/>
        <v>1505.8999999999996</v>
      </c>
      <c r="AF557" s="645">
        <f t="shared" si="157"/>
        <v>2562.7000000000003</v>
      </c>
      <c r="AG557" s="143"/>
      <c r="AH557" s="143"/>
    </row>
    <row r="558" spans="1:34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W558" s="3"/>
      <c r="X558" s="451" t="s">
        <v>42</v>
      </c>
      <c r="Y558" s="452" t="s">
        <v>26</v>
      </c>
      <c r="Z558" s="469" t="s">
        <v>29</v>
      </c>
      <c r="AA558" s="469">
        <v>13</v>
      </c>
      <c r="AB558" s="546" t="s">
        <v>431</v>
      </c>
      <c r="AC558" s="470">
        <v>800</v>
      </c>
      <c r="AD558" s="672">
        <f t="shared" si="157"/>
        <v>12799.7</v>
      </c>
      <c r="AE558" s="634">
        <f t="shared" si="157"/>
        <v>1505.8999999999996</v>
      </c>
      <c r="AF558" s="645">
        <f t="shared" si="157"/>
        <v>2562.7000000000003</v>
      </c>
      <c r="AG558" s="143"/>
      <c r="AH558" s="143"/>
    </row>
    <row r="559" spans="1:34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W559" s="3"/>
      <c r="X559" s="451" t="s">
        <v>136</v>
      </c>
      <c r="Y559" s="452" t="s">
        <v>26</v>
      </c>
      <c r="Z559" s="469" t="s">
        <v>29</v>
      </c>
      <c r="AA559" s="469">
        <v>13</v>
      </c>
      <c r="AB559" s="546" t="s">
        <v>431</v>
      </c>
      <c r="AC559" s="470">
        <v>870</v>
      </c>
      <c r="AD559" s="673">
        <f>6524.5-1521.1-442-1506.1+160-3000+4000+346.1+18000-3676-5248.2-0.7-669-167.8</f>
        <v>12799.7</v>
      </c>
      <c r="AE559" s="634">
        <f>2564.9+132.7-1.3-1190.4</f>
        <v>1505.8999999999996</v>
      </c>
      <c r="AF559" s="645">
        <f>2563.3-0.6</f>
        <v>2562.7000000000003</v>
      </c>
      <c r="AG559" s="143"/>
      <c r="AH559" s="143"/>
    </row>
    <row r="560" spans="1:34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W560" s="3"/>
      <c r="X560" s="653" t="s">
        <v>94</v>
      </c>
      <c r="Y560" s="452" t="s">
        <v>26</v>
      </c>
      <c r="Z560" s="471" t="s">
        <v>36</v>
      </c>
      <c r="AA560" s="540"/>
      <c r="AB560" s="539"/>
      <c r="AC560" s="476"/>
      <c r="AD560" s="671">
        <f t="shared" ref="AD560:AF566" si="158">AD561</f>
        <v>1037.9000000000001</v>
      </c>
      <c r="AE560" s="633">
        <f t="shared" si="158"/>
        <v>1037.9000000000001</v>
      </c>
      <c r="AF560" s="644">
        <f t="shared" si="158"/>
        <v>1037.9000000000001</v>
      </c>
      <c r="AG560" s="143"/>
      <c r="AH560" s="143"/>
    </row>
    <row r="561" spans="1:34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W561" s="3"/>
      <c r="X561" s="451" t="s">
        <v>55</v>
      </c>
      <c r="Y561" s="452" t="s">
        <v>26</v>
      </c>
      <c r="Z561" s="453">
        <v>10</v>
      </c>
      <c r="AA561" s="453" t="s">
        <v>29</v>
      </c>
      <c r="AB561" s="541"/>
      <c r="AC561" s="450"/>
      <c r="AD561" s="672">
        <f t="shared" si="158"/>
        <v>1037.9000000000001</v>
      </c>
      <c r="AE561" s="634">
        <f t="shared" si="158"/>
        <v>1037.9000000000001</v>
      </c>
      <c r="AF561" s="645">
        <f t="shared" si="158"/>
        <v>1037.9000000000001</v>
      </c>
      <c r="AG561" s="143"/>
      <c r="AH561" s="143"/>
    </row>
    <row r="562" spans="1:3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W562" s="3"/>
      <c r="X562" s="457" t="s">
        <v>292</v>
      </c>
      <c r="Y562" s="452" t="s">
        <v>26</v>
      </c>
      <c r="Z562" s="453">
        <v>10</v>
      </c>
      <c r="AA562" s="453" t="s">
        <v>29</v>
      </c>
      <c r="AB562" s="542" t="s">
        <v>109</v>
      </c>
      <c r="AC562" s="450"/>
      <c r="AD562" s="672">
        <f t="shared" si="158"/>
        <v>1037.9000000000001</v>
      </c>
      <c r="AE562" s="634">
        <f t="shared" si="158"/>
        <v>1037.9000000000001</v>
      </c>
      <c r="AF562" s="645">
        <f t="shared" si="158"/>
        <v>1037.9000000000001</v>
      </c>
      <c r="AG562" s="143"/>
      <c r="AH562" s="143"/>
    </row>
    <row r="563" spans="1:34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W563" s="3"/>
      <c r="X563" s="457" t="s">
        <v>293</v>
      </c>
      <c r="Y563" s="452" t="s">
        <v>26</v>
      </c>
      <c r="Z563" s="453">
        <v>10</v>
      </c>
      <c r="AA563" s="453" t="s">
        <v>29</v>
      </c>
      <c r="AB563" s="542" t="s">
        <v>118</v>
      </c>
      <c r="AC563" s="450"/>
      <c r="AD563" s="672">
        <f t="shared" si="158"/>
        <v>1037.9000000000001</v>
      </c>
      <c r="AE563" s="634">
        <f t="shared" si="158"/>
        <v>1037.9000000000001</v>
      </c>
      <c r="AF563" s="645">
        <f t="shared" si="158"/>
        <v>1037.9000000000001</v>
      </c>
      <c r="AG563" s="143"/>
      <c r="AH563" s="143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W564" s="3"/>
      <c r="X564" s="457" t="s">
        <v>466</v>
      </c>
      <c r="Y564" s="452" t="s">
        <v>26</v>
      </c>
      <c r="Z564" s="453">
        <v>10</v>
      </c>
      <c r="AA564" s="453" t="s">
        <v>29</v>
      </c>
      <c r="AB564" s="542" t="s">
        <v>465</v>
      </c>
      <c r="AC564" s="450"/>
      <c r="AD564" s="672">
        <f t="shared" si="158"/>
        <v>1037.9000000000001</v>
      </c>
      <c r="AE564" s="634">
        <f t="shared" si="158"/>
        <v>1037.9000000000001</v>
      </c>
      <c r="AF564" s="645">
        <f t="shared" si="158"/>
        <v>1037.9000000000001</v>
      </c>
      <c r="AG564" s="143"/>
      <c r="AH564" s="143"/>
    </row>
    <row r="565" spans="1:34" ht="31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W565" s="3"/>
      <c r="X565" s="466" t="s">
        <v>295</v>
      </c>
      <c r="Y565" s="452" t="s">
        <v>26</v>
      </c>
      <c r="Z565" s="453">
        <v>10</v>
      </c>
      <c r="AA565" s="453" t="s">
        <v>29</v>
      </c>
      <c r="AB565" s="542" t="s">
        <v>464</v>
      </c>
      <c r="AC565" s="450"/>
      <c r="AD565" s="672">
        <f t="shared" si="158"/>
        <v>1037.9000000000001</v>
      </c>
      <c r="AE565" s="634">
        <f t="shared" si="158"/>
        <v>1037.9000000000001</v>
      </c>
      <c r="AF565" s="645">
        <f t="shared" si="158"/>
        <v>1037.9000000000001</v>
      </c>
      <c r="AG565" s="143"/>
      <c r="AH565" s="143"/>
    </row>
    <row r="566" spans="1:3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W566" s="3"/>
      <c r="X566" s="451" t="s">
        <v>97</v>
      </c>
      <c r="Y566" s="452" t="s">
        <v>26</v>
      </c>
      <c r="Z566" s="453">
        <v>10</v>
      </c>
      <c r="AA566" s="453" t="s">
        <v>29</v>
      </c>
      <c r="AB566" s="542" t="s">
        <v>464</v>
      </c>
      <c r="AC566" s="454">
        <v>300</v>
      </c>
      <c r="AD566" s="672">
        <f t="shared" si="158"/>
        <v>1037.9000000000001</v>
      </c>
      <c r="AE566" s="634">
        <f t="shared" si="158"/>
        <v>1037.9000000000001</v>
      </c>
      <c r="AF566" s="645">
        <f t="shared" si="158"/>
        <v>1037.9000000000001</v>
      </c>
      <c r="AG566" s="143"/>
      <c r="AH566" s="143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W567" s="3"/>
      <c r="X567" s="451" t="s">
        <v>40</v>
      </c>
      <c r="Y567" s="452" t="s">
        <v>26</v>
      </c>
      <c r="Z567" s="453">
        <v>10</v>
      </c>
      <c r="AA567" s="453" t="s">
        <v>29</v>
      </c>
      <c r="AB567" s="542" t="s">
        <v>464</v>
      </c>
      <c r="AC567" s="454">
        <v>320</v>
      </c>
      <c r="AD567" s="672">
        <v>1037.9000000000001</v>
      </c>
      <c r="AE567" s="634">
        <v>1037.9000000000001</v>
      </c>
      <c r="AF567" s="645">
        <v>1037.9000000000001</v>
      </c>
      <c r="AG567" s="143"/>
      <c r="AH567" s="143"/>
    </row>
    <row r="568" spans="1:3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W568" s="3"/>
      <c r="X568" s="653" t="s">
        <v>412</v>
      </c>
      <c r="Y568" s="448" t="s">
        <v>59</v>
      </c>
      <c r="Z568" s="477"/>
      <c r="AA568" s="477"/>
      <c r="AB568" s="541"/>
      <c r="AC568" s="482"/>
      <c r="AD568" s="671">
        <f>AD569+AD608+AD600</f>
        <v>90095.800000000017</v>
      </c>
      <c r="AE568" s="633">
        <f>AE569+AE608</f>
        <v>28171.9</v>
      </c>
      <c r="AF568" s="644">
        <f>AF569+AF608</f>
        <v>27671.9</v>
      </c>
      <c r="AG568" s="143"/>
      <c r="AH568" s="143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W569" s="3"/>
      <c r="X569" s="653" t="s">
        <v>25</v>
      </c>
      <c r="Y569" s="448" t="s">
        <v>59</v>
      </c>
      <c r="Z569" s="449" t="s">
        <v>29</v>
      </c>
      <c r="AA569" s="540"/>
      <c r="AB569" s="539"/>
      <c r="AC569" s="476"/>
      <c r="AD569" s="671">
        <f>AD570</f>
        <v>44574.900000000009</v>
      </c>
      <c r="AE569" s="633">
        <f t="shared" ref="AD569:AF571" si="159">AE570</f>
        <v>27332</v>
      </c>
      <c r="AF569" s="644">
        <f t="shared" si="159"/>
        <v>26832</v>
      </c>
      <c r="AG569" s="143"/>
      <c r="AH569" s="143"/>
    </row>
    <row r="570" spans="1:3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W570" s="3"/>
      <c r="X570" s="451" t="s">
        <v>14</v>
      </c>
      <c r="Y570" s="452" t="s">
        <v>59</v>
      </c>
      <c r="Z570" s="453" t="s">
        <v>29</v>
      </c>
      <c r="AA570" s="453">
        <v>13</v>
      </c>
      <c r="AB570" s="541"/>
      <c r="AC570" s="482"/>
      <c r="AD570" s="672">
        <f>AD571+AD596</f>
        <v>44574.900000000009</v>
      </c>
      <c r="AE570" s="672">
        <f t="shared" ref="AE570:AF570" si="160">AE571+AE596</f>
        <v>27332</v>
      </c>
      <c r="AF570" s="672">
        <f t="shared" si="160"/>
        <v>26832</v>
      </c>
      <c r="AG570" s="143"/>
      <c r="AH570" s="143"/>
    </row>
    <row r="571" spans="1:34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W571" s="3"/>
      <c r="X571" s="457" t="s">
        <v>186</v>
      </c>
      <c r="Y571" s="452" t="s">
        <v>59</v>
      </c>
      <c r="Z571" s="453" t="s">
        <v>29</v>
      </c>
      <c r="AA571" s="453">
        <v>13</v>
      </c>
      <c r="AB571" s="542" t="s">
        <v>112</v>
      </c>
      <c r="AC571" s="454"/>
      <c r="AD571" s="672">
        <f t="shared" si="159"/>
        <v>44543.600000000006</v>
      </c>
      <c r="AE571" s="634">
        <f t="shared" si="159"/>
        <v>27332</v>
      </c>
      <c r="AF571" s="645">
        <f t="shared" si="159"/>
        <v>26832</v>
      </c>
      <c r="AG571" s="143"/>
      <c r="AH571" s="143"/>
    </row>
    <row r="572" spans="1:34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W572" s="3"/>
      <c r="X572" s="659" t="s">
        <v>530</v>
      </c>
      <c r="Y572" s="452" t="s">
        <v>59</v>
      </c>
      <c r="Z572" s="453" t="s">
        <v>29</v>
      </c>
      <c r="AA572" s="453">
        <v>13</v>
      </c>
      <c r="AB572" s="542" t="s">
        <v>113</v>
      </c>
      <c r="AC572" s="454"/>
      <c r="AD572" s="672">
        <f>AD573+AD579+AD585</f>
        <v>44543.600000000006</v>
      </c>
      <c r="AE572" s="634">
        <f>AE573+AE579+AE585</f>
        <v>27332</v>
      </c>
      <c r="AF572" s="645">
        <f>AF573+AF579+AF585</f>
        <v>26832</v>
      </c>
      <c r="AG572" s="143"/>
      <c r="AH572" s="143"/>
    </row>
    <row r="573" spans="1:34" ht="31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W573" s="3"/>
      <c r="X573" s="466" t="s">
        <v>182</v>
      </c>
      <c r="Y573" s="452" t="s">
        <v>59</v>
      </c>
      <c r="Z573" s="453" t="s">
        <v>29</v>
      </c>
      <c r="AA573" s="453">
        <v>13</v>
      </c>
      <c r="AB573" s="542" t="s">
        <v>183</v>
      </c>
      <c r="AC573" s="454"/>
      <c r="AD573" s="672">
        <f t="shared" ref="AD573:AF575" si="161">AD574</f>
        <v>15714.9</v>
      </c>
      <c r="AE573" s="634">
        <f t="shared" si="161"/>
        <v>500</v>
      </c>
      <c r="AF573" s="645">
        <f t="shared" si="161"/>
        <v>0</v>
      </c>
      <c r="AG573" s="143"/>
      <c r="AH573" s="143"/>
    </row>
    <row r="574" spans="1:34" ht="31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W574" s="3"/>
      <c r="X574" s="465" t="s">
        <v>774</v>
      </c>
      <c r="Y574" s="452" t="s">
        <v>59</v>
      </c>
      <c r="Z574" s="453" t="s">
        <v>29</v>
      </c>
      <c r="AA574" s="453">
        <v>13</v>
      </c>
      <c r="AB574" s="542" t="s">
        <v>185</v>
      </c>
      <c r="AC574" s="482"/>
      <c r="AD574" s="672">
        <f>AD575+AD577</f>
        <v>15714.9</v>
      </c>
      <c r="AE574" s="672">
        <f t="shared" ref="AE574:AF574" si="162">AE575+AE577</f>
        <v>500</v>
      </c>
      <c r="AF574" s="672">
        <f t="shared" si="162"/>
        <v>0</v>
      </c>
      <c r="AG574" s="143"/>
      <c r="AH574" s="143"/>
    </row>
    <row r="575" spans="1:34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W575" s="3"/>
      <c r="X575" s="451" t="s">
        <v>120</v>
      </c>
      <c r="Y575" s="452" t="s">
        <v>59</v>
      </c>
      <c r="Z575" s="453" t="s">
        <v>29</v>
      </c>
      <c r="AA575" s="453">
        <v>13</v>
      </c>
      <c r="AB575" s="542" t="s">
        <v>185</v>
      </c>
      <c r="AC575" s="454">
        <v>200</v>
      </c>
      <c r="AD575" s="672">
        <f t="shared" si="161"/>
        <v>15135</v>
      </c>
      <c r="AE575" s="634">
        <f t="shared" si="161"/>
        <v>500</v>
      </c>
      <c r="AF575" s="645">
        <f t="shared" si="161"/>
        <v>0</v>
      </c>
      <c r="AG575" s="143"/>
      <c r="AH575" s="143"/>
    </row>
    <row r="576" spans="1:34" ht="31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W576" s="3"/>
      <c r="X576" s="451" t="s">
        <v>52</v>
      </c>
      <c r="Y576" s="452" t="s">
        <v>59</v>
      </c>
      <c r="Z576" s="453" t="s">
        <v>29</v>
      </c>
      <c r="AA576" s="453">
        <v>13</v>
      </c>
      <c r="AB576" s="542" t="s">
        <v>185</v>
      </c>
      <c r="AC576" s="454">
        <v>240</v>
      </c>
      <c r="AD576" s="672">
        <f>1714.9+14000-579.9</f>
        <v>15135</v>
      </c>
      <c r="AE576" s="634">
        <v>500</v>
      </c>
      <c r="AF576" s="645">
        <v>0</v>
      </c>
      <c r="AG576" s="143"/>
      <c r="AH576" s="143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W577" s="3"/>
      <c r="X577" s="451" t="s">
        <v>42</v>
      </c>
      <c r="Y577" s="452" t="s">
        <v>59</v>
      </c>
      <c r="Z577" s="469" t="s">
        <v>29</v>
      </c>
      <c r="AA577" s="470">
        <v>13</v>
      </c>
      <c r="AB577" s="542" t="s">
        <v>185</v>
      </c>
      <c r="AC577" s="701">
        <v>800</v>
      </c>
      <c r="AD577" s="672">
        <f>AD578</f>
        <v>579.9</v>
      </c>
      <c r="AE577" s="672">
        <f t="shared" ref="AE577:AF577" si="163">AE578</f>
        <v>0</v>
      </c>
      <c r="AF577" s="672">
        <f t="shared" si="163"/>
        <v>0</v>
      </c>
      <c r="AG577" s="143"/>
      <c r="AH577" s="143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W578" s="3"/>
      <c r="X578" s="451" t="s">
        <v>57</v>
      </c>
      <c r="Y578" s="452" t="s">
        <v>59</v>
      </c>
      <c r="Z578" s="469" t="s">
        <v>29</v>
      </c>
      <c r="AA578" s="470">
        <v>13</v>
      </c>
      <c r="AB578" s="542" t="s">
        <v>185</v>
      </c>
      <c r="AC578" s="701">
        <v>850</v>
      </c>
      <c r="AD578" s="672">
        <v>579.9</v>
      </c>
      <c r="AE578" s="672">
        <v>0</v>
      </c>
      <c r="AF578" s="672">
        <v>0</v>
      </c>
      <c r="AG578" s="143"/>
      <c r="AH578" s="143"/>
    </row>
    <row r="579" spans="1:34" ht="47.2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W579" s="3"/>
      <c r="X579" s="466" t="s">
        <v>722</v>
      </c>
      <c r="Y579" s="452" t="s">
        <v>59</v>
      </c>
      <c r="Z579" s="453" t="s">
        <v>29</v>
      </c>
      <c r="AA579" s="453">
        <v>13</v>
      </c>
      <c r="AB579" s="542" t="s">
        <v>187</v>
      </c>
      <c r="AC579" s="470"/>
      <c r="AD579" s="672">
        <f>AD580</f>
        <v>1314.4</v>
      </c>
      <c r="AE579" s="634">
        <f>AE580</f>
        <v>1314.4</v>
      </c>
      <c r="AF579" s="645">
        <f>AF580</f>
        <v>1314.4</v>
      </c>
      <c r="AG579" s="143"/>
      <c r="AH579" s="143"/>
    </row>
    <row r="580" spans="1:34" ht="47.2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W580" s="3"/>
      <c r="X580" s="466" t="s">
        <v>611</v>
      </c>
      <c r="Y580" s="452" t="s">
        <v>59</v>
      </c>
      <c r="Z580" s="453" t="s">
        <v>29</v>
      </c>
      <c r="AA580" s="453">
        <v>13</v>
      </c>
      <c r="AB580" s="542" t="s">
        <v>610</v>
      </c>
      <c r="AC580" s="470"/>
      <c r="AD580" s="672">
        <f>AD581+AD583</f>
        <v>1314.4</v>
      </c>
      <c r="AE580" s="634">
        <f>AE581+AE583</f>
        <v>1314.4</v>
      </c>
      <c r="AF580" s="645">
        <f>AF581+AF583</f>
        <v>1314.4</v>
      </c>
      <c r="AG580" s="143"/>
      <c r="AH580" s="143"/>
    </row>
    <row r="581" spans="1:34" ht="47.2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W581" s="3"/>
      <c r="X581" s="451" t="s">
        <v>41</v>
      </c>
      <c r="Y581" s="452" t="s">
        <v>59</v>
      </c>
      <c r="Z581" s="453" t="s">
        <v>29</v>
      </c>
      <c r="AA581" s="453">
        <v>13</v>
      </c>
      <c r="AB581" s="542" t="s">
        <v>610</v>
      </c>
      <c r="AC581" s="470">
        <v>100</v>
      </c>
      <c r="AD581" s="672">
        <f>AD582</f>
        <v>1232</v>
      </c>
      <c r="AE581" s="634">
        <f>AE582</f>
        <v>1298.7</v>
      </c>
      <c r="AF581" s="645">
        <f>AF582</f>
        <v>1298.7</v>
      </c>
      <c r="AG581" s="143"/>
      <c r="AH581" s="143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W582" s="3"/>
      <c r="X582" s="654" t="s">
        <v>96</v>
      </c>
      <c r="Y582" s="467" t="s">
        <v>59</v>
      </c>
      <c r="Z582" s="453" t="s">
        <v>29</v>
      </c>
      <c r="AA582" s="453">
        <v>13</v>
      </c>
      <c r="AB582" s="542" t="s">
        <v>610</v>
      </c>
      <c r="AC582" s="470">
        <v>120</v>
      </c>
      <c r="AD582" s="672">
        <f>1298.7-66.7</f>
        <v>1232</v>
      </c>
      <c r="AE582" s="634">
        <v>1298.7</v>
      </c>
      <c r="AF582" s="645">
        <v>1298.7</v>
      </c>
      <c r="AG582" s="143"/>
      <c r="AH582" s="143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W583" s="3"/>
      <c r="X583" s="654" t="s">
        <v>120</v>
      </c>
      <c r="Y583" s="467" t="s">
        <v>59</v>
      </c>
      <c r="Z583" s="453" t="s">
        <v>29</v>
      </c>
      <c r="AA583" s="453">
        <v>13</v>
      </c>
      <c r="AB583" s="542" t="s">
        <v>610</v>
      </c>
      <c r="AC583" s="470">
        <v>200</v>
      </c>
      <c r="AD583" s="672">
        <f>AD584</f>
        <v>82.4</v>
      </c>
      <c r="AE583" s="634">
        <f>AE584</f>
        <v>15.7</v>
      </c>
      <c r="AF583" s="645">
        <f>AF584</f>
        <v>15.7</v>
      </c>
      <c r="AG583" s="143"/>
      <c r="AH583" s="143"/>
    </row>
    <row r="584" spans="1:34" ht="31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W584" s="3"/>
      <c r="X584" s="654" t="s">
        <v>52</v>
      </c>
      <c r="Y584" s="467" t="s">
        <v>59</v>
      </c>
      <c r="Z584" s="453" t="s">
        <v>29</v>
      </c>
      <c r="AA584" s="453">
        <v>13</v>
      </c>
      <c r="AB584" s="542" t="s">
        <v>610</v>
      </c>
      <c r="AC584" s="470">
        <v>240</v>
      </c>
      <c r="AD584" s="672">
        <f>15.7+66.7</f>
        <v>82.4</v>
      </c>
      <c r="AE584" s="634">
        <v>15.7</v>
      </c>
      <c r="AF584" s="645">
        <v>15.7</v>
      </c>
      <c r="AG584" s="143"/>
      <c r="AH584" s="143"/>
    </row>
    <row r="585" spans="1:34" ht="31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W585" s="3"/>
      <c r="X585" s="457" t="s">
        <v>327</v>
      </c>
      <c r="Y585" s="452" t="s">
        <v>59</v>
      </c>
      <c r="Z585" s="453" t="s">
        <v>29</v>
      </c>
      <c r="AA585" s="453">
        <v>13</v>
      </c>
      <c r="AB585" s="542" t="s">
        <v>459</v>
      </c>
      <c r="AC585" s="454"/>
      <c r="AD585" s="672">
        <f>AD586</f>
        <v>27514.300000000003</v>
      </c>
      <c r="AE585" s="634">
        <f>AE586</f>
        <v>25517.599999999999</v>
      </c>
      <c r="AF585" s="645">
        <f>AF586</f>
        <v>25517.599999999999</v>
      </c>
      <c r="AG585" s="143"/>
      <c r="AH585" s="143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W586" s="3"/>
      <c r="X586" s="457" t="s">
        <v>330</v>
      </c>
      <c r="Y586" s="452" t="s">
        <v>59</v>
      </c>
      <c r="Z586" s="453" t="s">
        <v>29</v>
      </c>
      <c r="AA586" s="453">
        <v>13</v>
      </c>
      <c r="AB586" s="542" t="s">
        <v>460</v>
      </c>
      <c r="AC586" s="454"/>
      <c r="AD586" s="672">
        <f>AD587+AD590+AD593</f>
        <v>27514.300000000003</v>
      </c>
      <c r="AE586" s="634">
        <f>AE587+AE590+AE593</f>
        <v>25517.599999999999</v>
      </c>
      <c r="AF586" s="645">
        <f>AF587+AF590+AF593</f>
        <v>25517.599999999999</v>
      </c>
      <c r="AG586" s="143"/>
      <c r="AH586" s="143"/>
    </row>
    <row r="587" spans="1:34" ht="31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W587" s="3"/>
      <c r="X587" s="457" t="s">
        <v>206</v>
      </c>
      <c r="Y587" s="452" t="s">
        <v>59</v>
      </c>
      <c r="Z587" s="453" t="s">
        <v>29</v>
      </c>
      <c r="AA587" s="453">
        <v>13</v>
      </c>
      <c r="AB587" s="542" t="s">
        <v>461</v>
      </c>
      <c r="AC587" s="454"/>
      <c r="AD587" s="672">
        <f t="shared" ref="AD587:AF588" si="164">AD588</f>
        <v>3600.8</v>
      </c>
      <c r="AE587" s="634">
        <f t="shared" si="164"/>
        <v>1785.8</v>
      </c>
      <c r="AF587" s="645">
        <f t="shared" si="164"/>
        <v>1785.8</v>
      </c>
      <c r="AG587" s="143"/>
      <c r="AH587" s="143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W588" s="3"/>
      <c r="X588" s="451" t="s">
        <v>120</v>
      </c>
      <c r="Y588" s="452" t="s">
        <v>59</v>
      </c>
      <c r="Z588" s="453" t="s">
        <v>29</v>
      </c>
      <c r="AA588" s="453">
        <v>13</v>
      </c>
      <c r="AB588" s="542" t="s">
        <v>461</v>
      </c>
      <c r="AC588" s="454">
        <v>200</v>
      </c>
      <c r="AD588" s="672">
        <f t="shared" si="164"/>
        <v>3600.8</v>
      </c>
      <c r="AE588" s="634">
        <f t="shared" si="164"/>
        <v>1785.8</v>
      </c>
      <c r="AF588" s="645">
        <f t="shared" si="164"/>
        <v>1785.8</v>
      </c>
      <c r="AG588" s="143"/>
      <c r="AH588" s="143"/>
    </row>
    <row r="589" spans="1:34" ht="31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W589" s="3"/>
      <c r="X589" s="451" t="s">
        <v>52</v>
      </c>
      <c r="Y589" s="452" t="s">
        <v>59</v>
      </c>
      <c r="Z589" s="453" t="s">
        <v>29</v>
      </c>
      <c r="AA589" s="453">
        <v>13</v>
      </c>
      <c r="AB589" s="542" t="s">
        <v>461</v>
      </c>
      <c r="AC589" s="454">
        <v>240</v>
      </c>
      <c r="AD589" s="672">
        <f>1785.8-31.3+31.3+1815</f>
        <v>3600.8</v>
      </c>
      <c r="AE589" s="634">
        <v>1785.8</v>
      </c>
      <c r="AF589" s="645">
        <v>1785.8</v>
      </c>
      <c r="AG589" s="143"/>
      <c r="AH589" s="143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W590" s="3"/>
      <c r="X590" s="451" t="s">
        <v>207</v>
      </c>
      <c r="Y590" s="452" t="s">
        <v>59</v>
      </c>
      <c r="Z590" s="453" t="s">
        <v>29</v>
      </c>
      <c r="AA590" s="453">
        <v>13</v>
      </c>
      <c r="AB590" s="541" t="str">
        <f>AB591</f>
        <v>12 1 04 00132</v>
      </c>
      <c r="AC590" s="454"/>
      <c r="AD590" s="672">
        <f>AD592</f>
        <v>8234.4</v>
      </c>
      <c r="AE590" s="634">
        <f>AE592</f>
        <v>8211.2999999999993</v>
      </c>
      <c r="AF590" s="645">
        <f>AF592</f>
        <v>8211.2999999999993</v>
      </c>
      <c r="AG590" s="143"/>
      <c r="AH590" s="143"/>
    </row>
    <row r="591" spans="1:34" ht="47.2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W591" s="3"/>
      <c r="X591" s="451" t="s">
        <v>41</v>
      </c>
      <c r="Y591" s="452" t="s">
        <v>59</v>
      </c>
      <c r="Z591" s="453" t="s">
        <v>29</v>
      </c>
      <c r="AA591" s="453">
        <v>13</v>
      </c>
      <c r="AB591" s="541" t="str">
        <f>AB592</f>
        <v>12 1 04 00132</v>
      </c>
      <c r="AC591" s="454">
        <v>100</v>
      </c>
      <c r="AD591" s="672">
        <f>AD592</f>
        <v>8234.4</v>
      </c>
      <c r="AE591" s="634">
        <f>AE592</f>
        <v>8211.2999999999993</v>
      </c>
      <c r="AF591" s="645">
        <f>AF592</f>
        <v>8211.2999999999993</v>
      </c>
      <c r="AG591" s="143"/>
      <c r="AH591" s="143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W592" s="3"/>
      <c r="X592" s="451" t="s">
        <v>96</v>
      </c>
      <c r="Y592" s="452" t="s">
        <v>59</v>
      </c>
      <c r="Z592" s="453" t="s">
        <v>29</v>
      </c>
      <c r="AA592" s="453">
        <v>13</v>
      </c>
      <c r="AB592" s="542" t="s">
        <v>462</v>
      </c>
      <c r="AC592" s="454">
        <v>120</v>
      </c>
      <c r="AD592" s="672">
        <f>8211.3+23.1</f>
        <v>8234.4</v>
      </c>
      <c r="AE592" s="634">
        <v>8211.2999999999993</v>
      </c>
      <c r="AF592" s="645">
        <v>8211.2999999999993</v>
      </c>
      <c r="AG592" s="143"/>
      <c r="AH592" s="143"/>
    </row>
    <row r="593" spans="1:34" ht="31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W593" s="3"/>
      <c r="X593" s="451" t="s">
        <v>208</v>
      </c>
      <c r="Y593" s="452" t="s">
        <v>59</v>
      </c>
      <c r="Z593" s="453" t="s">
        <v>29</v>
      </c>
      <c r="AA593" s="453">
        <v>13</v>
      </c>
      <c r="AB593" s="541" t="str">
        <f>AB594</f>
        <v>12 1 04 00133</v>
      </c>
      <c r="AC593" s="454"/>
      <c r="AD593" s="672">
        <f>AD595</f>
        <v>15679.1</v>
      </c>
      <c r="AE593" s="634">
        <f>AE595</f>
        <v>15520.5</v>
      </c>
      <c r="AF593" s="645">
        <f>AF595</f>
        <v>15520.5</v>
      </c>
      <c r="AG593" s="143"/>
      <c r="AH593" s="143"/>
    </row>
    <row r="594" spans="1:34" ht="47.2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W594" s="3"/>
      <c r="X594" s="451" t="s">
        <v>41</v>
      </c>
      <c r="Y594" s="452" t="s">
        <v>59</v>
      </c>
      <c r="Z594" s="453" t="s">
        <v>29</v>
      </c>
      <c r="AA594" s="453">
        <v>13</v>
      </c>
      <c r="AB594" s="541" t="str">
        <f>AB595</f>
        <v>12 1 04 00133</v>
      </c>
      <c r="AC594" s="454">
        <v>100</v>
      </c>
      <c r="AD594" s="672">
        <f>AD595</f>
        <v>15679.1</v>
      </c>
      <c r="AE594" s="634">
        <f>AE595</f>
        <v>15520.5</v>
      </c>
      <c r="AF594" s="645">
        <f>AF595</f>
        <v>15520.5</v>
      </c>
      <c r="AG594" s="143"/>
      <c r="AH594" s="143"/>
    </row>
    <row r="595" spans="1:34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W595" s="3"/>
      <c r="X595" s="451" t="s">
        <v>96</v>
      </c>
      <c r="Y595" s="452" t="s">
        <v>59</v>
      </c>
      <c r="Z595" s="453" t="s">
        <v>29</v>
      </c>
      <c r="AA595" s="453">
        <v>13</v>
      </c>
      <c r="AB595" s="542" t="s">
        <v>463</v>
      </c>
      <c r="AC595" s="454">
        <v>120</v>
      </c>
      <c r="AD595" s="672">
        <f>15520.5+158.6</f>
        <v>15679.1</v>
      </c>
      <c r="AE595" s="634">
        <v>15520.5</v>
      </c>
      <c r="AF595" s="645">
        <v>15520.5</v>
      </c>
      <c r="AG595" s="143"/>
      <c r="AH595" s="143"/>
    </row>
    <row r="596" spans="1:34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W596" s="3"/>
      <c r="X596" s="273" t="s">
        <v>332</v>
      </c>
      <c r="Y596" s="452" t="s">
        <v>59</v>
      </c>
      <c r="Z596" s="453" t="s">
        <v>29</v>
      </c>
      <c r="AA596" s="453">
        <v>13</v>
      </c>
      <c r="AB596" s="26" t="s">
        <v>137</v>
      </c>
      <c r="AC596" s="454"/>
      <c r="AD596" s="672">
        <f>AD597</f>
        <v>31.3</v>
      </c>
      <c r="AE596" s="672">
        <f t="shared" ref="AE596:AF598" si="165">AE597</f>
        <v>0</v>
      </c>
      <c r="AF596" s="672">
        <f t="shared" si="165"/>
        <v>0</v>
      </c>
      <c r="AG596" s="143"/>
      <c r="AH596" s="143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W597" s="3"/>
      <c r="X597" s="451" t="s">
        <v>796</v>
      </c>
      <c r="Y597" s="452" t="s">
        <v>59</v>
      </c>
      <c r="Z597" s="453" t="s">
        <v>29</v>
      </c>
      <c r="AA597" s="453">
        <v>13</v>
      </c>
      <c r="AB597" s="542" t="s">
        <v>797</v>
      </c>
      <c r="AC597" s="454"/>
      <c r="AD597" s="672">
        <f>AD598</f>
        <v>31.3</v>
      </c>
      <c r="AE597" s="672">
        <f t="shared" si="165"/>
        <v>0</v>
      </c>
      <c r="AF597" s="672">
        <f t="shared" si="165"/>
        <v>0</v>
      </c>
      <c r="AG597" s="143"/>
      <c r="AH597" s="143"/>
    </row>
    <row r="598" spans="1:3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W598" s="3"/>
      <c r="X598" s="451" t="s">
        <v>42</v>
      </c>
      <c r="Y598" s="452" t="s">
        <v>59</v>
      </c>
      <c r="Z598" s="453" t="s">
        <v>29</v>
      </c>
      <c r="AA598" s="453">
        <v>13</v>
      </c>
      <c r="AB598" s="542" t="s">
        <v>797</v>
      </c>
      <c r="AC598" s="454">
        <v>800</v>
      </c>
      <c r="AD598" s="672">
        <f>AD599</f>
        <v>31.3</v>
      </c>
      <c r="AE598" s="672">
        <f t="shared" si="165"/>
        <v>0</v>
      </c>
      <c r="AF598" s="672">
        <f t="shared" si="165"/>
        <v>0</v>
      </c>
      <c r="AG598" s="143"/>
      <c r="AH598" s="143"/>
    </row>
    <row r="599" spans="1:34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W599" s="3"/>
      <c r="X599" s="451" t="s">
        <v>798</v>
      </c>
      <c r="Y599" s="452" t="s">
        <v>59</v>
      </c>
      <c r="Z599" s="453" t="s">
        <v>29</v>
      </c>
      <c r="AA599" s="453">
        <v>13</v>
      </c>
      <c r="AB599" s="542" t="s">
        <v>797</v>
      </c>
      <c r="AC599" s="454">
        <v>830</v>
      </c>
      <c r="AD599" s="672">
        <v>31.3</v>
      </c>
      <c r="AE599" s="634">
        <v>0</v>
      </c>
      <c r="AF599" s="645">
        <v>0</v>
      </c>
      <c r="AG599" s="143"/>
      <c r="AH599" s="143"/>
    </row>
    <row r="600" spans="1:3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W600" s="3"/>
      <c r="X600" s="653" t="s">
        <v>3</v>
      </c>
      <c r="Y600" s="452" t="s">
        <v>59</v>
      </c>
      <c r="Z600" s="474" t="s">
        <v>5</v>
      </c>
      <c r="AA600" s="453"/>
      <c r="AB600" s="542"/>
      <c r="AC600" s="454"/>
      <c r="AD600" s="672">
        <f t="shared" ref="AD600:AD606" si="166">AD601</f>
        <v>30000</v>
      </c>
      <c r="AE600" s="672">
        <f t="shared" ref="AE600:AF600" si="167">AE601</f>
        <v>0</v>
      </c>
      <c r="AF600" s="672">
        <f t="shared" si="167"/>
        <v>0</v>
      </c>
      <c r="AG600" s="143"/>
      <c r="AH600" s="143"/>
    </row>
    <row r="601" spans="1:34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W601" s="3"/>
      <c r="X601" s="451" t="s">
        <v>323</v>
      </c>
      <c r="Y601" s="452" t="s">
        <v>59</v>
      </c>
      <c r="Z601" s="453" t="s">
        <v>5</v>
      </c>
      <c r="AA601" s="453" t="s">
        <v>30</v>
      </c>
      <c r="AB601" s="542"/>
      <c r="AC601" s="454"/>
      <c r="AD601" s="672">
        <f t="shared" si="166"/>
        <v>30000</v>
      </c>
      <c r="AE601" s="672">
        <f t="shared" ref="AE601:AF601" si="168">AE602</f>
        <v>0</v>
      </c>
      <c r="AF601" s="672">
        <f t="shared" si="168"/>
        <v>0</v>
      </c>
      <c r="AG601" s="143"/>
      <c r="AH601" s="143"/>
    </row>
    <row r="602" spans="1:3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W602" s="3"/>
      <c r="X602" s="457" t="s">
        <v>186</v>
      </c>
      <c r="Y602" s="452" t="s">
        <v>59</v>
      </c>
      <c r="Z602" s="453" t="s">
        <v>5</v>
      </c>
      <c r="AA602" s="453" t="s">
        <v>30</v>
      </c>
      <c r="AB602" s="542" t="s">
        <v>112</v>
      </c>
      <c r="AC602" s="454"/>
      <c r="AD602" s="672">
        <f t="shared" si="166"/>
        <v>30000</v>
      </c>
      <c r="AE602" s="672">
        <f t="shared" ref="AE602:AF602" si="169">AE603</f>
        <v>0</v>
      </c>
      <c r="AF602" s="672">
        <f t="shared" si="169"/>
        <v>0</v>
      </c>
      <c r="AG602" s="143"/>
      <c r="AH602" s="143"/>
    </row>
    <row r="603" spans="1:34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W603" s="3"/>
      <c r="X603" s="451" t="s">
        <v>48</v>
      </c>
      <c r="Y603" s="452" t="s">
        <v>59</v>
      </c>
      <c r="Z603" s="453" t="s">
        <v>5</v>
      </c>
      <c r="AA603" s="453" t="s">
        <v>30</v>
      </c>
      <c r="AB603" s="542" t="s">
        <v>190</v>
      </c>
      <c r="AC603" s="454"/>
      <c r="AD603" s="672">
        <f t="shared" si="166"/>
        <v>30000</v>
      </c>
      <c r="AE603" s="672">
        <f t="shared" ref="AE603:AF603" si="170">AE604</f>
        <v>0</v>
      </c>
      <c r="AF603" s="672">
        <f t="shared" si="170"/>
        <v>0</v>
      </c>
      <c r="AG603" s="143"/>
      <c r="AH603" s="143"/>
    </row>
    <row r="604" spans="1:34" ht="31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W604" s="3"/>
      <c r="X604" s="451" t="s">
        <v>327</v>
      </c>
      <c r="Y604" s="452" t="s">
        <v>59</v>
      </c>
      <c r="Z604" s="453" t="s">
        <v>5</v>
      </c>
      <c r="AA604" s="453" t="s">
        <v>30</v>
      </c>
      <c r="AB604" s="542" t="s">
        <v>192</v>
      </c>
      <c r="AC604" s="454"/>
      <c r="AD604" s="672">
        <f t="shared" si="166"/>
        <v>30000</v>
      </c>
      <c r="AE604" s="672">
        <f t="shared" ref="AE604:AF604" si="171">AE605</f>
        <v>0</v>
      </c>
      <c r="AF604" s="672">
        <f t="shared" si="171"/>
        <v>0</v>
      </c>
      <c r="AG604" s="143"/>
      <c r="AH604" s="143"/>
    </row>
    <row r="605" spans="1:34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W605" s="3"/>
      <c r="X605" s="451" t="s">
        <v>821</v>
      </c>
      <c r="Y605" s="452" t="s">
        <v>59</v>
      </c>
      <c r="Z605" s="453" t="s">
        <v>5</v>
      </c>
      <c r="AA605" s="453" t="s">
        <v>30</v>
      </c>
      <c r="AB605" s="542" t="s">
        <v>822</v>
      </c>
      <c r="AC605" s="454"/>
      <c r="AD605" s="672">
        <f t="shared" si="166"/>
        <v>30000</v>
      </c>
      <c r="AE605" s="672">
        <f t="shared" ref="AE605:AF605" si="172">AE606</f>
        <v>0</v>
      </c>
      <c r="AF605" s="672">
        <f t="shared" si="172"/>
        <v>0</v>
      </c>
      <c r="AG605" s="143"/>
      <c r="AH605" s="143"/>
    </row>
    <row r="606" spans="1:3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W606" s="3"/>
      <c r="X606" s="451" t="s">
        <v>42</v>
      </c>
      <c r="Y606" s="452" t="s">
        <v>59</v>
      </c>
      <c r="Z606" s="453" t="s">
        <v>5</v>
      </c>
      <c r="AA606" s="453" t="s">
        <v>30</v>
      </c>
      <c r="AB606" s="542" t="s">
        <v>822</v>
      </c>
      <c r="AC606" s="454">
        <v>800</v>
      </c>
      <c r="AD606" s="672">
        <f t="shared" si="166"/>
        <v>30000</v>
      </c>
      <c r="AE606" s="672">
        <f t="shared" ref="AE606:AF606" si="173">AE607</f>
        <v>0</v>
      </c>
      <c r="AF606" s="672">
        <f t="shared" si="173"/>
        <v>0</v>
      </c>
      <c r="AG606" s="143"/>
      <c r="AH606" s="143"/>
    </row>
    <row r="607" spans="1:34" ht="37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W607" s="3"/>
      <c r="X607" s="451" t="s">
        <v>121</v>
      </c>
      <c r="Y607" s="452" t="s">
        <v>59</v>
      </c>
      <c r="Z607" s="453" t="s">
        <v>5</v>
      </c>
      <c r="AA607" s="453" t="s">
        <v>30</v>
      </c>
      <c r="AB607" s="542" t="s">
        <v>822</v>
      </c>
      <c r="AC607" s="454">
        <v>810</v>
      </c>
      <c r="AD607" s="672">
        <v>30000</v>
      </c>
      <c r="AE607" s="634">
        <v>0</v>
      </c>
      <c r="AF607" s="645">
        <v>0</v>
      </c>
      <c r="AG607" s="143"/>
      <c r="AH607" s="143"/>
    </row>
    <row r="608" spans="1:34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W608" s="3"/>
      <c r="X608" s="653" t="s">
        <v>94</v>
      </c>
      <c r="Y608" s="448" t="s">
        <v>59</v>
      </c>
      <c r="Z608" s="471" t="s">
        <v>36</v>
      </c>
      <c r="AA608" s="540"/>
      <c r="AB608" s="539"/>
      <c r="AC608" s="476"/>
      <c r="AD608" s="671">
        <f>AD609+AD616</f>
        <v>15520.9</v>
      </c>
      <c r="AE608" s="633">
        <f>AE609+AE616</f>
        <v>839.9</v>
      </c>
      <c r="AF608" s="644">
        <f>AF609+AF616</f>
        <v>839.9</v>
      </c>
      <c r="AG608" s="143"/>
      <c r="AH608" s="143"/>
    </row>
    <row r="609" spans="1:3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W609" s="3"/>
      <c r="X609" s="451" t="s">
        <v>55</v>
      </c>
      <c r="Y609" s="452" t="s">
        <v>59</v>
      </c>
      <c r="Z609" s="453">
        <v>10</v>
      </c>
      <c r="AA609" s="453" t="s">
        <v>29</v>
      </c>
      <c r="AB609" s="541"/>
      <c r="AC609" s="450"/>
      <c r="AD609" s="672">
        <f t="shared" ref="AD609:AF614" si="174">AD610</f>
        <v>839.9</v>
      </c>
      <c r="AE609" s="634">
        <f t="shared" si="174"/>
        <v>839.9</v>
      </c>
      <c r="AF609" s="645">
        <f t="shared" si="174"/>
        <v>839.9</v>
      </c>
      <c r="AG609" s="143"/>
      <c r="AH609" s="143"/>
    </row>
    <row r="610" spans="1:34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W610" s="3"/>
      <c r="X610" s="457" t="s">
        <v>292</v>
      </c>
      <c r="Y610" s="452" t="s">
        <v>59</v>
      </c>
      <c r="Z610" s="453">
        <v>10</v>
      </c>
      <c r="AA610" s="453" t="s">
        <v>29</v>
      </c>
      <c r="AB610" s="542" t="s">
        <v>109</v>
      </c>
      <c r="AC610" s="450"/>
      <c r="AD610" s="672">
        <f t="shared" si="174"/>
        <v>839.9</v>
      </c>
      <c r="AE610" s="634">
        <f t="shared" si="174"/>
        <v>839.9</v>
      </c>
      <c r="AF610" s="645">
        <f t="shared" si="174"/>
        <v>839.9</v>
      </c>
      <c r="AG610" s="143"/>
      <c r="AH610" s="143"/>
    </row>
    <row r="611" spans="1:34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W611" s="3"/>
      <c r="X611" s="457" t="s">
        <v>293</v>
      </c>
      <c r="Y611" s="452" t="s">
        <v>59</v>
      </c>
      <c r="Z611" s="453">
        <v>10</v>
      </c>
      <c r="AA611" s="453" t="s">
        <v>29</v>
      </c>
      <c r="AB611" s="542" t="s">
        <v>118</v>
      </c>
      <c r="AC611" s="450"/>
      <c r="AD611" s="672">
        <f t="shared" si="174"/>
        <v>839.9</v>
      </c>
      <c r="AE611" s="634">
        <f t="shared" si="174"/>
        <v>839.9</v>
      </c>
      <c r="AF611" s="645">
        <f t="shared" si="174"/>
        <v>839.9</v>
      </c>
      <c r="AG611" s="143"/>
      <c r="AH611" s="143"/>
    </row>
    <row r="612" spans="1:34" ht="31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W612" s="3"/>
      <c r="X612" s="457" t="s">
        <v>466</v>
      </c>
      <c r="Y612" s="452" t="s">
        <v>59</v>
      </c>
      <c r="Z612" s="453">
        <v>10</v>
      </c>
      <c r="AA612" s="453" t="s">
        <v>29</v>
      </c>
      <c r="AB612" s="542" t="s">
        <v>465</v>
      </c>
      <c r="AC612" s="450"/>
      <c r="AD612" s="672">
        <f t="shared" si="174"/>
        <v>839.9</v>
      </c>
      <c r="AE612" s="634">
        <f t="shared" si="174"/>
        <v>839.9</v>
      </c>
      <c r="AF612" s="645">
        <f t="shared" si="174"/>
        <v>839.9</v>
      </c>
      <c r="AG612" s="143"/>
      <c r="AH612" s="143"/>
    </row>
    <row r="613" spans="1:34" ht="31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W613" s="3"/>
      <c r="X613" s="466" t="s">
        <v>295</v>
      </c>
      <c r="Y613" s="452" t="s">
        <v>59</v>
      </c>
      <c r="Z613" s="453">
        <v>10</v>
      </c>
      <c r="AA613" s="453" t="s">
        <v>29</v>
      </c>
      <c r="AB613" s="542" t="s">
        <v>464</v>
      </c>
      <c r="AC613" s="450"/>
      <c r="AD613" s="672">
        <f t="shared" si="174"/>
        <v>839.9</v>
      </c>
      <c r="AE613" s="634">
        <f t="shared" si="174"/>
        <v>839.9</v>
      </c>
      <c r="AF613" s="645">
        <f t="shared" si="174"/>
        <v>839.9</v>
      </c>
      <c r="AG613" s="143"/>
      <c r="AH613" s="143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W614" s="3"/>
      <c r="X614" s="451" t="s">
        <v>97</v>
      </c>
      <c r="Y614" s="452" t="s">
        <v>59</v>
      </c>
      <c r="Z614" s="453">
        <v>10</v>
      </c>
      <c r="AA614" s="453" t="s">
        <v>29</v>
      </c>
      <c r="AB614" s="542" t="s">
        <v>464</v>
      </c>
      <c r="AC614" s="454">
        <v>300</v>
      </c>
      <c r="AD614" s="672">
        <f t="shared" si="174"/>
        <v>839.9</v>
      </c>
      <c r="AE614" s="634">
        <f t="shared" si="174"/>
        <v>839.9</v>
      </c>
      <c r="AF614" s="645">
        <f t="shared" si="174"/>
        <v>839.9</v>
      </c>
      <c r="AG614" s="143"/>
      <c r="AH614" s="143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W615" s="3"/>
      <c r="X615" s="451" t="s">
        <v>40</v>
      </c>
      <c r="Y615" s="452" t="s">
        <v>59</v>
      </c>
      <c r="Z615" s="453">
        <v>10</v>
      </c>
      <c r="AA615" s="453" t="s">
        <v>29</v>
      </c>
      <c r="AB615" s="542" t="s">
        <v>464</v>
      </c>
      <c r="AC615" s="454">
        <v>320</v>
      </c>
      <c r="AD615" s="672">
        <v>839.9</v>
      </c>
      <c r="AE615" s="634">
        <v>839.9</v>
      </c>
      <c r="AF615" s="645">
        <v>839.9</v>
      </c>
      <c r="AG615" s="143"/>
      <c r="AH615" s="143"/>
    </row>
    <row r="616" spans="1:3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W616" s="3"/>
      <c r="X616" s="451" t="s">
        <v>31</v>
      </c>
      <c r="Y616" s="452" t="s">
        <v>59</v>
      </c>
      <c r="Z616" s="453">
        <v>10</v>
      </c>
      <c r="AA616" s="453" t="s">
        <v>49</v>
      </c>
      <c r="AB616" s="541"/>
      <c r="AC616" s="454"/>
      <c r="AD616" s="672">
        <f t="shared" ref="AD616:AF619" si="175">AD617</f>
        <v>14681</v>
      </c>
      <c r="AE616" s="634">
        <f t="shared" si="175"/>
        <v>0</v>
      </c>
      <c r="AF616" s="645">
        <f t="shared" si="175"/>
        <v>0</v>
      </c>
      <c r="AG616" s="143"/>
      <c r="AH616" s="143"/>
    </row>
    <row r="617" spans="1:34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W617" s="3"/>
      <c r="X617" s="457" t="s">
        <v>181</v>
      </c>
      <c r="Y617" s="452" t="s">
        <v>59</v>
      </c>
      <c r="Z617" s="453">
        <v>10</v>
      </c>
      <c r="AA617" s="453" t="s">
        <v>49</v>
      </c>
      <c r="AB617" s="541" t="s">
        <v>116</v>
      </c>
      <c r="AC617" s="454"/>
      <c r="AD617" s="672">
        <f t="shared" si="175"/>
        <v>14681</v>
      </c>
      <c r="AE617" s="634">
        <f t="shared" si="175"/>
        <v>0</v>
      </c>
      <c r="AF617" s="645">
        <f t="shared" si="175"/>
        <v>0</v>
      </c>
      <c r="AG617" s="143"/>
      <c r="AH617" s="143"/>
    </row>
    <row r="618" spans="1:34" ht="31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W618" s="3"/>
      <c r="X618" s="655" t="s">
        <v>439</v>
      </c>
      <c r="Y618" s="452" t="s">
        <v>59</v>
      </c>
      <c r="Z618" s="453">
        <v>10</v>
      </c>
      <c r="AA618" s="453" t="s">
        <v>49</v>
      </c>
      <c r="AB618" s="542" t="s">
        <v>146</v>
      </c>
      <c r="AC618" s="454"/>
      <c r="AD618" s="672">
        <f t="shared" si="175"/>
        <v>14681</v>
      </c>
      <c r="AE618" s="634">
        <f t="shared" si="175"/>
        <v>0</v>
      </c>
      <c r="AF618" s="645">
        <f t="shared" si="175"/>
        <v>0</v>
      </c>
      <c r="AG618" s="143"/>
      <c r="AH618" s="143"/>
    </row>
    <row r="619" spans="1:34" ht="47.2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W619" s="3"/>
      <c r="X619" s="655" t="s">
        <v>440</v>
      </c>
      <c r="Y619" s="452" t="s">
        <v>59</v>
      </c>
      <c r="Z619" s="453">
        <v>10</v>
      </c>
      <c r="AA619" s="453" t="s">
        <v>49</v>
      </c>
      <c r="AB619" s="542" t="s">
        <v>145</v>
      </c>
      <c r="AC619" s="454"/>
      <c r="AD619" s="672">
        <f>AD620</f>
        <v>14681</v>
      </c>
      <c r="AE619" s="634">
        <f t="shared" si="175"/>
        <v>0</v>
      </c>
      <c r="AF619" s="645">
        <f t="shared" si="175"/>
        <v>0</v>
      </c>
      <c r="AG619" s="143"/>
      <c r="AH619" s="143"/>
    </row>
    <row r="620" spans="1:34" ht="31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W620" s="3"/>
      <c r="X620" s="659" t="s">
        <v>617</v>
      </c>
      <c r="Y620" s="452" t="s">
        <v>59</v>
      </c>
      <c r="Z620" s="453">
        <v>10</v>
      </c>
      <c r="AA620" s="453" t="s">
        <v>49</v>
      </c>
      <c r="AB620" s="542" t="s">
        <v>144</v>
      </c>
      <c r="AC620" s="454"/>
      <c r="AD620" s="672">
        <f t="shared" ref="AD620:AF621" si="176">AD621</f>
        <v>14681</v>
      </c>
      <c r="AE620" s="634">
        <f t="shared" si="176"/>
        <v>0</v>
      </c>
      <c r="AF620" s="645">
        <f t="shared" si="176"/>
        <v>0</v>
      </c>
      <c r="AG620" s="143"/>
      <c r="AH620" s="143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W621" s="3"/>
      <c r="X621" s="668" t="s">
        <v>23</v>
      </c>
      <c r="Y621" s="452" t="s">
        <v>59</v>
      </c>
      <c r="Z621" s="453">
        <v>10</v>
      </c>
      <c r="AA621" s="453" t="s">
        <v>49</v>
      </c>
      <c r="AB621" s="548" t="s">
        <v>144</v>
      </c>
      <c r="AC621" s="454">
        <v>400</v>
      </c>
      <c r="AD621" s="672">
        <f t="shared" si="176"/>
        <v>14681</v>
      </c>
      <c r="AE621" s="634">
        <f t="shared" si="176"/>
        <v>0</v>
      </c>
      <c r="AF621" s="645">
        <f t="shared" si="176"/>
        <v>0</v>
      </c>
      <c r="AG621" s="143"/>
      <c r="AH621" s="143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W622" s="3"/>
      <c r="X622" s="451" t="s">
        <v>9</v>
      </c>
      <c r="Y622" s="452" t="s">
        <v>59</v>
      </c>
      <c r="Z622" s="453">
        <v>10</v>
      </c>
      <c r="AA622" s="453" t="s">
        <v>49</v>
      </c>
      <c r="AB622" s="548" t="s">
        <v>144</v>
      </c>
      <c r="AC622" s="454">
        <v>410</v>
      </c>
      <c r="AD622" s="672">
        <f>9887+4794</f>
        <v>14681</v>
      </c>
      <c r="AE622" s="634">
        <v>0</v>
      </c>
      <c r="AF622" s="645">
        <v>0</v>
      </c>
      <c r="AG622" s="143"/>
      <c r="AH622" s="143"/>
    </row>
    <row r="623" spans="1:34" ht="18.7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W623" s="3"/>
      <c r="X623" s="653" t="s">
        <v>413</v>
      </c>
      <c r="Y623" s="448" t="s">
        <v>414</v>
      </c>
      <c r="Z623" s="481"/>
      <c r="AA623" s="477"/>
      <c r="AB623" s="541"/>
      <c r="AC623" s="482"/>
      <c r="AD623" s="671">
        <f>AD624+AD632+AD779</f>
        <v>1515964.1</v>
      </c>
      <c r="AE623" s="633">
        <f>AE624+AE632+AE779</f>
        <v>1311935.6000000001</v>
      </c>
      <c r="AF623" s="644">
        <f>AF624+AF632+AF779</f>
        <v>1308625.9000000001</v>
      </c>
      <c r="AG623" s="143"/>
      <c r="AH623" s="143"/>
    </row>
    <row r="624" spans="1:3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W624" s="3"/>
      <c r="X624" s="653" t="s">
        <v>25</v>
      </c>
      <c r="Y624" s="448" t="s">
        <v>414</v>
      </c>
      <c r="Z624" s="449" t="s">
        <v>29</v>
      </c>
      <c r="AA624" s="471"/>
      <c r="AB624" s="541"/>
      <c r="AC624" s="482"/>
      <c r="AD624" s="672">
        <f t="shared" ref="AD624:AF630" si="177">AD625</f>
        <v>12605.7</v>
      </c>
      <c r="AE624" s="634">
        <f t="shared" si="177"/>
        <v>0</v>
      </c>
      <c r="AF624" s="645">
        <f t="shared" si="177"/>
        <v>0</v>
      </c>
      <c r="AG624" s="143"/>
      <c r="AH624" s="143"/>
    </row>
    <row r="625" spans="1:3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W625" s="3"/>
      <c r="X625" s="451" t="s">
        <v>14</v>
      </c>
      <c r="Y625" s="452" t="s">
        <v>414</v>
      </c>
      <c r="Z625" s="474" t="s">
        <v>29</v>
      </c>
      <c r="AA625" s="474">
        <v>13</v>
      </c>
      <c r="AB625" s="542"/>
      <c r="AC625" s="482"/>
      <c r="AD625" s="672">
        <f t="shared" si="177"/>
        <v>12605.7</v>
      </c>
      <c r="AE625" s="634">
        <f t="shared" si="177"/>
        <v>0</v>
      </c>
      <c r="AF625" s="645">
        <f t="shared" si="177"/>
        <v>0</v>
      </c>
      <c r="AG625" s="143"/>
      <c r="AH625" s="14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W626" s="3"/>
      <c r="X626" s="457" t="s">
        <v>186</v>
      </c>
      <c r="Y626" s="452" t="s">
        <v>414</v>
      </c>
      <c r="Z626" s="474" t="s">
        <v>29</v>
      </c>
      <c r="AA626" s="474">
        <v>13</v>
      </c>
      <c r="AB626" s="542" t="s">
        <v>112</v>
      </c>
      <c r="AC626" s="482"/>
      <c r="AD626" s="672">
        <f t="shared" si="177"/>
        <v>12605.7</v>
      </c>
      <c r="AE626" s="634">
        <f t="shared" si="177"/>
        <v>0</v>
      </c>
      <c r="AF626" s="645">
        <f t="shared" si="177"/>
        <v>0</v>
      </c>
      <c r="AG626" s="143"/>
      <c r="AH626" s="143"/>
    </row>
    <row r="627" spans="1:3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W627" s="3"/>
      <c r="X627" s="457" t="s">
        <v>189</v>
      </c>
      <c r="Y627" s="452" t="s">
        <v>414</v>
      </c>
      <c r="Z627" s="474" t="s">
        <v>29</v>
      </c>
      <c r="AA627" s="474">
        <v>13</v>
      </c>
      <c r="AB627" s="542" t="s">
        <v>190</v>
      </c>
      <c r="AC627" s="482"/>
      <c r="AD627" s="672">
        <f t="shared" si="177"/>
        <v>12605.7</v>
      </c>
      <c r="AE627" s="634">
        <f t="shared" si="177"/>
        <v>0</v>
      </c>
      <c r="AF627" s="645">
        <f t="shared" si="177"/>
        <v>0</v>
      </c>
      <c r="AG627" s="143"/>
      <c r="AH627" s="14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W628" s="3"/>
      <c r="X628" s="457" t="s">
        <v>191</v>
      </c>
      <c r="Y628" s="452" t="s">
        <v>414</v>
      </c>
      <c r="Z628" s="474" t="s">
        <v>29</v>
      </c>
      <c r="AA628" s="474">
        <v>13</v>
      </c>
      <c r="AB628" s="542" t="s">
        <v>192</v>
      </c>
      <c r="AC628" s="482"/>
      <c r="AD628" s="672">
        <f>AD629</f>
        <v>12605.7</v>
      </c>
      <c r="AE628" s="634">
        <f>AE629</f>
        <v>0</v>
      </c>
      <c r="AF628" s="645">
        <f>AF629</f>
        <v>0</v>
      </c>
      <c r="AG628" s="143"/>
      <c r="AH628" s="143"/>
    </row>
    <row r="629" spans="1:35" ht="31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W629" s="3"/>
      <c r="X629" s="465" t="s">
        <v>217</v>
      </c>
      <c r="Y629" s="452" t="s">
        <v>414</v>
      </c>
      <c r="Z629" s="474" t="s">
        <v>29</v>
      </c>
      <c r="AA629" s="474">
        <v>13</v>
      </c>
      <c r="AB629" s="544" t="s">
        <v>218</v>
      </c>
      <c r="AC629" s="482"/>
      <c r="AD629" s="672">
        <f t="shared" si="177"/>
        <v>12605.7</v>
      </c>
      <c r="AE629" s="634">
        <f t="shared" si="177"/>
        <v>0</v>
      </c>
      <c r="AF629" s="645">
        <f t="shared" si="177"/>
        <v>0</v>
      </c>
      <c r="AG629" s="143"/>
      <c r="AH629" s="143"/>
    </row>
    <row r="630" spans="1:35" ht="31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W630" s="3"/>
      <c r="X630" s="451" t="s">
        <v>60</v>
      </c>
      <c r="Y630" s="452" t="s">
        <v>414</v>
      </c>
      <c r="Z630" s="474" t="s">
        <v>29</v>
      </c>
      <c r="AA630" s="474">
        <v>13</v>
      </c>
      <c r="AB630" s="544" t="s">
        <v>218</v>
      </c>
      <c r="AC630" s="574">
        <v>600</v>
      </c>
      <c r="AD630" s="672">
        <f t="shared" si="177"/>
        <v>12605.7</v>
      </c>
      <c r="AE630" s="634">
        <f t="shared" si="177"/>
        <v>0</v>
      </c>
      <c r="AF630" s="645">
        <f t="shared" si="177"/>
        <v>0</v>
      </c>
      <c r="AG630" s="143"/>
      <c r="AH630" s="143"/>
    </row>
    <row r="631" spans="1:3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W631" s="3"/>
      <c r="X631" s="451" t="s">
        <v>61</v>
      </c>
      <c r="Y631" s="452" t="s">
        <v>414</v>
      </c>
      <c r="Z631" s="474" t="s">
        <v>29</v>
      </c>
      <c r="AA631" s="474">
        <v>13</v>
      </c>
      <c r="AB631" s="544" t="s">
        <v>218</v>
      </c>
      <c r="AC631" s="574">
        <v>610</v>
      </c>
      <c r="AD631" s="672">
        <f>26390.2-13784.5</f>
        <v>12605.7</v>
      </c>
      <c r="AE631" s="634">
        <f>26390.2-26390.2</f>
        <v>0</v>
      </c>
      <c r="AF631" s="645">
        <f>26390.2-26390.2</f>
        <v>0</v>
      </c>
      <c r="AG631" s="143"/>
      <c r="AH631" s="14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W632" s="3"/>
      <c r="X632" s="653" t="s">
        <v>4</v>
      </c>
      <c r="Y632" s="448" t="s">
        <v>414</v>
      </c>
      <c r="Z632" s="471" t="s">
        <v>8</v>
      </c>
      <c r="AA632" s="540"/>
      <c r="AB632" s="539"/>
      <c r="AC632" s="476"/>
      <c r="AD632" s="671">
        <f>AD633+AD657+AD720+AD746+AD739</f>
        <v>1488006.5000000002</v>
      </c>
      <c r="AE632" s="633">
        <f>AE633+AE657+AE720+AE746+AE739</f>
        <v>1296873.6000000001</v>
      </c>
      <c r="AF632" s="644">
        <f>AF633+AF657+AF720+AF746+AF739</f>
        <v>1293563.9000000001</v>
      </c>
      <c r="AG632" s="143"/>
      <c r="AH632" s="14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W633" s="3"/>
      <c r="X633" s="451" t="s">
        <v>19</v>
      </c>
      <c r="Y633" s="452" t="s">
        <v>414</v>
      </c>
      <c r="Z633" s="477" t="s">
        <v>8</v>
      </c>
      <c r="AA633" s="453" t="s">
        <v>29</v>
      </c>
      <c r="AB633" s="541"/>
      <c r="AC633" s="454"/>
      <c r="AD633" s="672">
        <f>AD634</f>
        <v>479897.8</v>
      </c>
      <c r="AE633" s="634">
        <f t="shared" ref="AE633:AF633" si="178">AE634</f>
        <v>461823.3</v>
      </c>
      <c r="AF633" s="645">
        <f t="shared" si="178"/>
        <v>467723.5</v>
      </c>
      <c r="AG633" s="415"/>
      <c r="AH633" s="415"/>
      <c r="AI633" s="415"/>
    </row>
    <row r="634" spans="1:3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W634" s="3"/>
      <c r="X634" s="459" t="s">
        <v>262</v>
      </c>
      <c r="Y634" s="467" t="s">
        <v>414</v>
      </c>
      <c r="Z634" s="453" t="s">
        <v>8</v>
      </c>
      <c r="AA634" s="453" t="s">
        <v>29</v>
      </c>
      <c r="AB634" s="542" t="s">
        <v>100</v>
      </c>
      <c r="AC634" s="482"/>
      <c r="AD634" s="672">
        <f>AD635</f>
        <v>479897.8</v>
      </c>
      <c r="AE634" s="634">
        <f>AE635</f>
        <v>461823.3</v>
      </c>
      <c r="AF634" s="645">
        <f>AF635</f>
        <v>467723.5</v>
      </c>
      <c r="AG634" s="143"/>
      <c r="AH634" s="14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W635" s="3"/>
      <c r="X635" s="459" t="s">
        <v>265</v>
      </c>
      <c r="Y635" s="467" t="s">
        <v>414</v>
      </c>
      <c r="Z635" s="477" t="s">
        <v>8</v>
      </c>
      <c r="AA635" s="453" t="s">
        <v>29</v>
      </c>
      <c r="AB635" s="542" t="s">
        <v>117</v>
      </c>
      <c r="AC635" s="454"/>
      <c r="AD635" s="672">
        <f>AD636+AD653</f>
        <v>479897.8</v>
      </c>
      <c r="AE635" s="634">
        <f t="shared" ref="AE635:AF635" si="179">AE636</f>
        <v>461823.3</v>
      </c>
      <c r="AF635" s="645">
        <f t="shared" si="179"/>
        <v>467723.5</v>
      </c>
      <c r="AG635" s="143"/>
      <c r="AH635" s="14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W636" s="3"/>
      <c r="X636" s="459" t="s">
        <v>448</v>
      </c>
      <c r="Y636" s="452" t="s">
        <v>414</v>
      </c>
      <c r="Z636" s="469" t="s">
        <v>8</v>
      </c>
      <c r="AA636" s="469" t="s">
        <v>29</v>
      </c>
      <c r="AB636" s="542" t="s">
        <v>447</v>
      </c>
      <c r="AC636" s="482"/>
      <c r="AD636" s="672">
        <f>AD637+AD644+AD647+AD650</f>
        <v>477734.8</v>
      </c>
      <c r="AE636" s="672">
        <f t="shared" ref="AE636:AF636" si="180">AE637+AE644+AE647+AE650</f>
        <v>461823.3</v>
      </c>
      <c r="AF636" s="672">
        <f t="shared" si="180"/>
        <v>467723.5</v>
      </c>
      <c r="AG636" s="143"/>
      <c r="AH636" s="14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W637" s="3"/>
      <c r="X637" s="654" t="s">
        <v>264</v>
      </c>
      <c r="Y637" s="452" t="s">
        <v>414</v>
      </c>
      <c r="Z637" s="477" t="s">
        <v>8</v>
      </c>
      <c r="AA637" s="453" t="s">
        <v>29</v>
      </c>
      <c r="AB637" s="542" t="s">
        <v>450</v>
      </c>
      <c r="AC637" s="573"/>
      <c r="AD637" s="672">
        <f>AD638+AD641</f>
        <v>203982.8</v>
      </c>
      <c r="AE637" s="634">
        <f>AE638</f>
        <v>188071.3</v>
      </c>
      <c r="AF637" s="645">
        <f>AF638</f>
        <v>193971.5</v>
      </c>
      <c r="AG637" s="143"/>
      <c r="AH637" s="143"/>
    </row>
    <row r="638" spans="1:35" ht="31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W638" s="3"/>
      <c r="X638" s="654" t="s">
        <v>333</v>
      </c>
      <c r="Y638" s="452" t="s">
        <v>414</v>
      </c>
      <c r="Z638" s="477" t="s">
        <v>8</v>
      </c>
      <c r="AA638" s="453" t="s">
        <v>29</v>
      </c>
      <c r="AB638" s="542" t="s">
        <v>451</v>
      </c>
      <c r="AC638" s="454"/>
      <c r="AD638" s="672">
        <f>AD639</f>
        <v>184081.8</v>
      </c>
      <c r="AE638" s="634">
        <f t="shared" ref="AD638:AF639" si="181">AE639</f>
        <v>188071.3</v>
      </c>
      <c r="AF638" s="645">
        <f t="shared" si="181"/>
        <v>193971.5</v>
      </c>
      <c r="AG638" s="143"/>
      <c r="AH638" s="143"/>
    </row>
    <row r="639" spans="1:35" ht="31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W639" s="3"/>
      <c r="X639" s="451" t="s">
        <v>60</v>
      </c>
      <c r="Y639" s="452" t="s">
        <v>414</v>
      </c>
      <c r="Z639" s="477" t="s">
        <v>8</v>
      </c>
      <c r="AA639" s="453" t="s">
        <v>29</v>
      </c>
      <c r="AB639" s="542" t="s">
        <v>451</v>
      </c>
      <c r="AC639" s="454">
        <v>600</v>
      </c>
      <c r="AD639" s="672">
        <f t="shared" si="181"/>
        <v>184081.8</v>
      </c>
      <c r="AE639" s="634">
        <f t="shared" si="181"/>
        <v>188071.3</v>
      </c>
      <c r="AF639" s="645">
        <f t="shared" si="181"/>
        <v>193971.5</v>
      </c>
      <c r="AG639" s="143"/>
      <c r="AH639" s="143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W640" s="3"/>
      <c r="X640" s="451" t="s">
        <v>61</v>
      </c>
      <c r="Y640" s="452" t="s">
        <v>414</v>
      </c>
      <c r="Z640" s="453" t="s">
        <v>8</v>
      </c>
      <c r="AA640" s="453" t="s">
        <v>29</v>
      </c>
      <c r="AB640" s="542" t="s">
        <v>451</v>
      </c>
      <c r="AC640" s="454">
        <v>610</v>
      </c>
      <c r="AD640" s="672">
        <f>182591.4+1490.4</f>
        <v>184081.8</v>
      </c>
      <c r="AE640" s="634">
        <f>186524.3+1547</f>
        <v>188071.3</v>
      </c>
      <c r="AF640" s="645">
        <f>192370.3+1601.2</f>
        <v>193971.5</v>
      </c>
      <c r="AG640" s="143"/>
      <c r="AH640" s="143"/>
    </row>
    <row r="641" spans="1:34" ht="47.2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W641" s="3"/>
      <c r="X641" s="451" t="s">
        <v>728</v>
      </c>
      <c r="Y641" s="452" t="s">
        <v>414</v>
      </c>
      <c r="Z641" s="477" t="s">
        <v>8</v>
      </c>
      <c r="AA641" s="453" t="s">
        <v>29</v>
      </c>
      <c r="AB641" s="542" t="s">
        <v>823</v>
      </c>
      <c r="AC641" s="454"/>
      <c r="AD641" s="672">
        <f>AD642</f>
        <v>19901</v>
      </c>
      <c r="AE641" s="672">
        <f t="shared" ref="AE641:AF642" si="182">AE642</f>
        <v>0</v>
      </c>
      <c r="AF641" s="672">
        <f t="shared" si="182"/>
        <v>0</v>
      </c>
      <c r="AG641" s="143"/>
      <c r="AH641" s="143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W642" s="3"/>
      <c r="X642" s="451" t="s">
        <v>60</v>
      </c>
      <c r="Y642" s="452" t="s">
        <v>414</v>
      </c>
      <c r="Z642" s="477" t="s">
        <v>8</v>
      </c>
      <c r="AA642" s="453" t="s">
        <v>29</v>
      </c>
      <c r="AB642" s="542" t="s">
        <v>823</v>
      </c>
      <c r="AC642" s="454">
        <v>600</v>
      </c>
      <c r="AD642" s="672">
        <f>AD643</f>
        <v>19901</v>
      </c>
      <c r="AE642" s="672">
        <f t="shared" si="182"/>
        <v>0</v>
      </c>
      <c r="AF642" s="672">
        <f t="shared" si="182"/>
        <v>0</v>
      </c>
      <c r="AG642" s="143"/>
      <c r="AH642" s="143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W643" s="3"/>
      <c r="X643" s="451" t="s">
        <v>61</v>
      </c>
      <c r="Y643" s="452" t="s">
        <v>414</v>
      </c>
      <c r="Z643" s="453" t="s">
        <v>8</v>
      </c>
      <c r="AA643" s="453" t="s">
        <v>29</v>
      </c>
      <c r="AB643" s="542" t="s">
        <v>823</v>
      </c>
      <c r="AC643" s="454">
        <v>610</v>
      </c>
      <c r="AD643" s="672">
        <f>26675.4-5000-1774.4</f>
        <v>19901</v>
      </c>
      <c r="AE643" s="634">
        <v>0</v>
      </c>
      <c r="AF643" s="645">
        <v>0</v>
      </c>
      <c r="AG643" s="143"/>
      <c r="AH643" s="143"/>
    </row>
    <row r="644" spans="1:34" ht="126" x14ac:dyDescent="0.25">
      <c r="X644" s="662" t="s">
        <v>511</v>
      </c>
      <c r="Y644" s="452" t="s">
        <v>414</v>
      </c>
      <c r="Z644" s="469" t="s">
        <v>8</v>
      </c>
      <c r="AA644" s="469" t="s">
        <v>29</v>
      </c>
      <c r="AB644" s="542" t="s">
        <v>471</v>
      </c>
      <c r="AC644" s="573"/>
      <c r="AD644" s="672">
        <f t="shared" ref="AD644:AF645" si="183">AD645</f>
        <v>249569</v>
      </c>
      <c r="AE644" s="634">
        <f t="shared" si="183"/>
        <v>249569</v>
      </c>
      <c r="AF644" s="645">
        <f t="shared" si="183"/>
        <v>249569</v>
      </c>
      <c r="AG644" s="143"/>
      <c r="AH644" s="143"/>
    </row>
    <row r="645" spans="1:34" ht="31.5" x14ac:dyDescent="0.25">
      <c r="X645" s="451" t="s">
        <v>60</v>
      </c>
      <c r="Y645" s="467" t="s">
        <v>414</v>
      </c>
      <c r="Z645" s="469" t="s">
        <v>8</v>
      </c>
      <c r="AA645" s="469" t="s">
        <v>29</v>
      </c>
      <c r="AB645" s="542" t="s">
        <v>471</v>
      </c>
      <c r="AC645" s="482">
        <v>600</v>
      </c>
      <c r="AD645" s="672">
        <f t="shared" si="183"/>
        <v>249569</v>
      </c>
      <c r="AE645" s="634">
        <f t="shared" si="183"/>
        <v>249569</v>
      </c>
      <c r="AF645" s="645">
        <f t="shared" si="183"/>
        <v>249569</v>
      </c>
      <c r="AG645" s="143"/>
      <c r="AH645" s="143"/>
    </row>
    <row r="646" spans="1:34" x14ac:dyDescent="0.25">
      <c r="X646" s="451" t="s">
        <v>61</v>
      </c>
      <c r="Y646" s="452" t="s">
        <v>414</v>
      </c>
      <c r="Z646" s="477" t="s">
        <v>8</v>
      </c>
      <c r="AA646" s="453" t="s">
        <v>29</v>
      </c>
      <c r="AB646" s="542" t="s">
        <v>471</v>
      </c>
      <c r="AC646" s="482">
        <v>610</v>
      </c>
      <c r="AD646" s="672">
        <f>175097+70083+4389</f>
        <v>249569</v>
      </c>
      <c r="AE646" s="634">
        <f>175097+70083+4389</f>
        <v>249569</v>
      </c>
      <c r="AF646" s="645">
        <f>175097+70083+4389</f>
        <v>249569</v>
      </c>
      <c r="AG646" s="143"/>
      <c r="AH646" s="143"/>
    </row>
    <row r="647" spans="1:34" ht="31.5" x14ac:dyDescent="0.25">
      <c r="X647" s="451" t="s">
        <v>773</v>
      </c>
      <c r="Y647" s="452" t="s">
        <v>414</v>
      </c>
      <c r="Z647" s="469" t="s">
        <v>8</v>
      </c>
      <c r="AA647" s="469" t="s">
        <v>29</v>
      </c>
      <c r="AB647" s="542" t="s">
        <v>624</v>
      </c>
      <c r="AC647" s="573"/>
      <c r="AD647" s="672">
        <f t="shared" ref="AD647:AF648" si="184">AD648</f>
        <v>200</v>
      </c>
      <c r="AE647" s="634">
        <f t="shared" si="184"/>
        <v>200</v>
      </c>
      <c r="AF647" s="645">
        <f t="shared" si="184"/>
        <v>200</v>
      </c>
      <c r="AG647" s="143"/>
      <c r="AH647" s="143"/>
    </row>
    <row r="648" spans="1:34" ht="31.5" x14ac:dyDescent="0.25">
      <c r="X648" s="451" t="s">
        <v>60</v>
      </c>
      <c r="Y648" s="467" t="s">
        <v>414</v>
      </c>
      <c r="Z648" s="469" t="s">
        <v>8</v>
      </c>
      <c r="AA648" s="469" t="s">
        <v>29</v>
      </c>
      <c r="AB648" s="542" t="s">
        <v>624</v>
      </c>
      <c r="AC648" s="482">
        <v>600</v>
      </c>
      <c r="AD648" s="672">
        <f t="shared" si="184"/>
        <v>200</v>
      </c>
      <c r="AE648" s="634">
        <f t="shared" si="184"/>
        <v>200</v>
      </c>
      <c r="AF648" s="645">
        <f t="shared" si="184"/>
        <v>200</v>
      </c>
      <c r="AG648" s="143"/>
      <c r="AH648" s="143"/>
    </row>
    <row r="649" spans="1:34" x14ac:dyDescent="0.25">
      <c r="X649" s="451" t="s">
        <v>61</v>
      </c>
      <c r="Y649" s="452" t="s">
        <v>414</v>
      </c>
      <c r="Z649" s="477" t="s">
        <v>8</v>
      </c>
      <c r="AA649" s="453" t="s">
        <v>29</v>
      </c>
      <c r="AB649" s="542" t="s">
        <v>624</v>
      </c>
      <c r="AC649" s="482">
        <v>610</v>
      </c>
      <c r="AD649" s="672">
        <v>200</v>
      </c>
      <c r="AE649" s="634">
        <v>200</v>
      </c>
      <c r="AF649" s="645">
        <v>200</v>
      </c>
      <c r="AG649" s="143"/>
      <c r="AH649" s="143"/>
    </row>
    <row r="650" spans="1:34" ht="31.5" customHeight="1" x14ac:dyDescent="0.25">
      <c r="X650" s="451" t="s">
        <v>780</v>
      </c>
      <c r="Y650" s="452" t="s">
        <v>414</v>
      </c>
      <c r="Z650" s="477" t="s">
        <v>8</v>
      </c>
      <c r="AA650" s="453" t="s">
        <v>29</v>
      </c>
      <c r="AB650" s="541" t="s">
        <v>662</v>
      </c>
      <c r="AC650" s="454"/>
      <c r="AD650" s="672">
        <f t="shared" ref="AD650:AF651" si="185">AD651</f>
        <v>23983</v>
      </c>
      <c r="AE650" s="634">
        <f t="shared" si="185"/>
        <v>23983</v>
      </c>
      <c r="AF650" s="645">
        <f t="shared" si="185"/>
        <v>23983</v>
      </c>
      <c r="AG650" s="143"/>
      <c r="AH650" s="143"/>
    </row>
    <row r="651" spans="1:34" ht="31.5" x14ac:dyDescent="0.25">
      <c r="X651" s="451" t="s">
        <v>60</v>
      </c>
      <c r="Y651" s="452" t="s">
        <v>414</v>
      </c>
      <c r="Z651" s="477" t="s">
        <v>8</v>
      </c>
      <c r="AA651" s="453" t="s">
        <v>29</v>
      </c>
      <c r="AB651" s="541" t="s">
        <v>662</v>
      </c>
      <c r="AC651" s="454">
        <v>600</v>
      </c>
      <c r="AD651" s="672">
        <f t="shared" si="185"/>
        <v>23983</v>
      </c>
      <c r="AE651" s="634">
        <f t="shared" si="185"/>
        <v>23983</v>
      </c>
      <c r="AF651" s="645">
        <f t="shared" si="185"/>
        <v>23983</v>
      </c>
      <c r="AG651" s="143"/>
      <c r="AH651" s="143"/>
    </row>
    <row r="652" spans="1:34" x14ac:dyDescent="0.25">
      <c r="X652" s="451" t="s">
        <v>61</v>
      </c>
      <c r="Y652" s="452" t="s">
        <v>414</v>
      </c>
      <c r="Z652" s="477" t="s">
        <v>8</v>
      </c>
      <c r="AA652" s="453" t="s">
        <v>29</v>
      </c>
      <c r="AB652" s="541" t="s">
        <v>662</v>
      </c>
      <c r="AC652" s="454">
        <v>610</v>
      </c>
      <c r="AD652" s="672">
        <f>19530+4453</f>
        <v>23983</v>
      </c>
      <c r="AE652" s="634">
        <f>4453+19530</f>
        <v>23983</v>
      </c>
      <c r="AF652" s="645">
        <f>19530+4453</f>
        <v>23983</v>
      </c>
      <c r="AG652" s="143"/>
      <c r="AH652" s="143"/>
    </row>
    <row r="653" spans="1:34" ht="47.25" x14ac:dyDescent="0.25">
      <c r="X653" s="459" t="s">
        <v>267</v>
      </c>
      <c r="Y653" s="452" t="s">
        <v>414</v>
      </c>
      <c r="Z653" s="477" t="s">
        <v>8</v>
      </c>
      <c r="AA653" s="454" t="s">
        <v>29</v>
      </c>
      <c r="AB653" s="458" t="s">
        <v>126</v>
      </c>
      <c r="AC653" s="456"/>
      <c r="AD653" s="698">
        <f t="shared" ref="AD653:AF655" si="186">AD654</f>
        <v>2163</v>
      </c>
      <c r="AE653" s="698">
        <f t="shared" si="186"/>
        <v>0</v>
      </c>
      <c r="AF653" s="698">
        <f t="shared" si="186"/>
        <v>0</v>
      </c>
      <c r="AG653" s="143"/>
      <c r="AH653" s="143"/>
    </row>
    <row r="654" spans="1:34" ht="63" x14ac:dyDescent="0.25">
      <c r="X654" s="451" t="s">
        <v>801</v>
      </c>
      <c r="Y654" s="452" t="s">
        <v>414</v>
      </c>
      <c r="Z654" s="477" t="s">
        <v>8</v>
      </c>
      <c r="AA654" s="454" t="s">
        <v>29</v>
      </c>
      <c r="AB654" s="458" t="s">
        <v>802</v>
      </c>
      <c r="AC654" s="456"/>
      <c r="AD654" s="698">
        <f t="shared" si="186"/>
        <v>2163</v>
      </c>
      <c r="AE654" s="698">
        <f t="shared" si="186"/>
        <v>0</v>
      </c>
      <c r="AF654" s="698">
        <f t="shared" si="186"/>
        <v>0</v>
      </c>
      <c r="AG654" s="143"/>
      <c r="AH654" s="143"/>
    </row>
    <row r="655" spans="1:34" ht="31.5" x14ac:dyDescent="0.25">
      <c r="X655" s="451" t="s">
        <v>60</v>
      </c>
      <c r="Y655" s="452" t="s">
        <v>414</v>
      </c>
      <c r="Z655" s="477" t="s">
        <v>8</v>
      </c>
      <c r="AA655" s="454" t="s">
        <v>29</v>
      </c>
      <c r="AB655" s="458" t="s">
        <v>802</v>
      </c>
      <c r="AC655" s="456">
        <v>600</v>
      </c>
      <c r="AD655" s="698">
        <f t="shared" si="186"/>
        <v>2163</v>
      </c>
      <c r="AE655" s="698">
        <f t="shared" si="186"/>
        <v>0</v>
      </c>
      <c r="AF655" s="698">
        <f t="shared" si="186"/>
        <v>0</v>
      </c>
      <c r="AG655" s="143"/>
      <c r="AH655" s="143"/>
    </row>
    <row r="656" spans="1:34" x14ac:dyDescent="0.25">
      <c r="X656" s="451" t="s">
        <v>61</v>
      </c>
      <c r="Y656" s="452" t="s">
        <v>414</v>
      </c>
      <c r="Z656" s="477" t="s">
        <v>8</v>
      </c>
      <c r="AA656" s="454" t="s">
        <v>29</v>
      </c>
      <c r="AB656" s="458" t="s">
        <v>802</v>
      </c>
      <c r="AC656" s="456">
        <v>610</v>
      </c>
      <c r="AD656" s="698">
        <v>2163</v>
      </c>
      <c r="AE656" s="698">
        <v>0</v>
      </c>
      <c r="AF656" s="698">
        <v>0</v>
      </c>
      <c r="AG656" s="143"/>
      <c r="AH656" s="143"/>
    </row>
    <row r="657" spans="1:3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W657" s="3"/>
      <c r="X657" s="451" t="s">
        <v>34</v>
      </c>
      <c r="Y657" s="467" t="s">
        <v>414</v>
      </c>
      <c r="Z657" s="477" t="s">
        <v>8</v>
      </c>
      <c r="AA657" s="453" t="s">
        <v>30</v>
      </c>
      <c r="AB657" s="541"/>
      <c r="AC657" s="482"/>
      <c r="AD657" s="672">
        <f>AD658+AH7077</f>
        <v>897446.70000000019</v>
      </c>
      <c r="AE657" s="634">
        <f>AE658+AI7077</f>
        <v>727748.5</v>
      </c>
      <c r="AF657" s="645">
        <f>AF658+AJ7077</f>
        <v>716115.5</v>
      </c>
      <c r="AG657" s="415"/>
      <c r="AH657" s="415"/>
      <c r="AI657" s="415"/>
    </row>
    <row r="658" spans="1:35" x14ac:dyDescent="0.25">
      <c r="X658" s="459" t="s">
        <v>262</v>
      </c>
      <c r="Y658" s="452" t="s">
        <v>414</v>
      </c>
      <c r="Z658" s="477" t="s">
        <v>8</v>
      </c>
      <c r="AA658" s="453" t="s">
        <v>30</v>
      </c>
      <c r="AB658" s="542" t="s">
        <v>100</v>
      </c>
      <c r="AC658" s="454"/>
      <c r="AD658" s="672">
        <f>AD659</f>
        <v>897446.70000000019</v>
      </c>
      <c r="AE658" s="634">
        <f>AE659</f>
        <v>727748.5</v>
      </c>
      <c r="AF658" s="645">
        <f>AF659</f>
        <v>716115.5</v>
      </c>
    </row>
    <row r="659" spans="1:35" x14ac:dyDescent="0.25">
      <c r="X659" s="459" t="s">
        <v>265</v>
      </c>
      <c r="Y659" s="452" t="s">
        <v>414</v>
      </c>
      <c r="Z659" s="453" t="s">
        <v>8</v>
      </c>
      <c r="AA659" s="453" t="s">
        <v>30</v>
      </c>
      <c r="AB659" s="542" t="s">
        <v>117</v>
      </c>
      <c r="AC659" s="454"/>
      <c r="AD659" s="672">
        <f>AD660+AD685+AD699+AD706+AD710+AD695</f>
        <v>897446.70000000019</v>
      </c>
      <c r="AE659" s="672">
        <f t="shared" ref="AE659:AF659" si="187">AE660+AE685+AE699+AE706+AE710+AE695</f>
        <v>727748.5</v>
      </c>
      <c r="AF659" s="672">
        <f t="shared" si="187"/>
        <v>716115.5</v>
      </c>
    </row>
    <row r="660" spans="1:35" ht="31.5" x14ac:dyDescent="0.25">
      <c r="X660" s="459" t="s">
        <v>266</v>
      </c>
      <c r="Y660" s="467" t="s">
        <v>414</v>
      </c>
      <c r="Z660" s="453" t="s">
        <v>8</v>
      </c>
      <c r="AA660" s="453" t="s">
        <v>30</v>
      </c>
      <c r="AB660" s="542" t="s">
        <v>447</v>
      </c>
      <c r="AC660" s="454"/>
      <c r="AD660" s="672">
        <f>AD664+AD673+AD678+AD661+AD679+AD682</f>
        <v>798273.3</v>
      </c>
      <c r="AE660" s="634">
        <f t="shared" ref="AE660:AF660" si="188">AE664+AE673+AE678+AE661+AE679+AE682</f>
        <v>630900.1</v>
      </c>
      <c r="AF660" s="645">
        <f t="shared" si="188"/>
        <v>632000.5</v>
      </c>
    </row>
    <row r="661" spans="1:35" ht="31.5" x14ac:dyDescent="0.25">
      <c r="X661" s="459" t="s">
        <v>685</v>
      </c>
      <c r="Y661" s="452">
        <v>901</v>
      </c>
      <c r="Z661" s="477" t="s">
        <v>8</v>
      </c>
      <c r="AA661" s="453" t="s">
        <v>30</v>
      </c>
      <c r="AB661" s="542" t="s">
        <v>684</v>
      </c>
      <c r="AC661" s="568"/>
      <c r="AD661" s="672">
        <f t="shared" ref="AD661:AF662" si="189">AD662</f>
        <v>30653.9</v>
      </c>
      <c r="AE661" s="634">
        <f t="shared" si="189"/>
        <v>21201.200000000001</v>
      </c>
      <c r="AF661" s="645">
        <f t="shared" si="189"/>
        <v>19198.599999999999</v>
      </c>
    </row>
    <row r="662" spans="1:35" x14ac:dyDescent="0.25">
      <c r="X662" s="451" t="s">
        <v>120</v>
      </c>
      <c r="Y662" s="452">
        <v>901</v>
      </c>
      <c r="Z662" s="477" t="s">
        <v>8</v>
      </c>
      <c r="AA662" s="453" t="s">
        <v>30</v>
      </c>
      <c r="AB662" s="542" t="s">
        <v>684</v>
      </c>
      <c r="AC662" s="454">
        <v>200</v>
      </c>
      <c r="AD662" s="672">
        <f t="shared" si="189"/>
        <v>30653.9</v>
      </c>
      <c r="AE662" s="634">
        <f t="shared" si="189"/>
        <v>21201.200000000001</v>
      </c>
      <c r="AF662" s="645">
        <f t="shared" si="189"/>
        <v>19198.599999999999</v>
      </c>
    </row>
    <row r="663" spans="1:35" ht="31.5" x14ac:dyDescent="0.25">
      <c r="X663" s="451" t="s">
        <v>52</v>
      </c>
      <c r="Y663" s="452">
        <v>901</v>
      </c>
      <c r="Z663" s="453" t="s">
        <v>8</v>
      </c>
      <c r="AA663" s="453" t="s">
        <v>30</v>
      </c>
      <c r="AB663" s="542" t="s">
        <v>684</v>
      </c>
      <c r="AC663" s="454">
        <v>240</v>
      </c>
      <c r="AD663" s="672">
        <f>17836.4+12817.5</f>
        <v>30653.9</v>
      </c>
      <c r="AE663" s="634">
        <f>19163.7+2037.5</f>
        <v>21201.200000000001</v>
      </c>
      <c r="AF663" s="645">
        <v>19198.599999999999</v>
      </c>
    </row>
    <row r="664" spans="1:35" ht="47.2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W664" s="3"/>
      <c r="X664" s="459" t="s">
        <v>432</v>
      </c>
      <c r="Y664" s="467" t="s">
        <v>414</v>
      </c>
      <c r="Z664" s="453" t="s">
        <v>8</v>
      </c>
      <c r="AA664" s="453" t="s">
        <v>30</v>
      </c>
      <c r="AB664" s="542" t="s">
        <v>468</v>
      </c>
      <c r="AC664" s="454"/>
      <c r="AD664" s="672">
        <f>AD665+AD668</f>
        <v>257196.40000000002</v>
      </c>
      <c r="AE664" s="634">
        <f>AE665+AE668</f>
        <v>101185.9</v>
      </c>
      <c r="AF664" s="645">
        <f>AF665+AF668</f>
        <v>104288.90000000001</v>
      </c>
      <c r="AH664" s="3"/>
    </row>
    <row r="665" spans="1:35" ht="47.2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W665" s="3"/>
      <c r="X665" s="459" t="s">
        <v>508</v>
      </c>
      <c r="Y665" s="452" t="s">
        <v>414</v>
      </c>
      <c r="Z665" s="453" t="s">
        <v>8</v>
      </c>
      <c r="AA665" s="453" t="s">
        <v>30</v>
      </c>
      <c r="AB665" s="542" t="s">
        <v>469</v>
      </c>
      <c r="AC665" s="573"/>
      <c r="AD665" s="672">
        <f>AD666</f>
        <v>117951.70000000001</v>
      </c>
      <c r="AE665" s="634">
        <f>AE666</f>
        <v>101185.9</v>
      </c>
      <c r="AF665" s="645">
        <f>AF666</f>
        <v>104288.90000000001</v>
      </c>
      <c r="AH665" s="3"/>
    </row>
    <row r="666" spans="1:35" ht="31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W666" s="3"/>
      <c r="X666" s="451" t="s">
        <v>60</v>
      </c>
      <c r="Y666" s="452" t="s">
        <v>414</v>
      </c>
      <c r="Z666" s="453" t="s">
        <v>8</v>
      </c>
      <c r="AA666" s="453" t="s">
        <v>30</v>
      </c>
      <c r="AB666" s="542" t="s">
        <v>469</v>
      </c>
      <c r="AC666" s="454">
        <v>600</v>
      </c>
      <c r="AD666" s="672">
        <f t="shared" ref="AD666:AF671" si="190">AD667</f>
        <v>117951.70000000001</v>
      </c>
      <c r="AE666" s="634">
        <f t="shared" si="190"/>
        <v>101185.9</v>
      </c>
      <c r="AF666" s="645">
        <f t="shared" si="190"/>
        <v>104288.90000000001</v>
      </c>
      <c r="AH666" s="3"/>
    </row>
    <row r="667" spans="1:3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W667" s="3"/>
      <c r="X667" s="451" t="s">
        <v>61</v>
      </c>
      <c r="Y667" s="452" t="s">
        <v>414</v>
      </c>
      <c r="Z667" s="453" t="s">
        <v>8</v>
      </c>
      <c r="AA667" s="453" t="s">
        <v>30</v>
      </c>
      <c r="AB667" s="542" t="s">
        <v>469</v>
      </c>
      <c r="AC667" s="454">
        <v>610</v>
      </c>
      <c r="AD667" s="672">
        <f>96762.1+1614.6+3832.2+1000+11581.8+3161</f>
        <v>117951.70000000001</v>
      </c>
      <c r="AE667" s="634">
        <f>99509.9+1676</f>
        <v>101185.9</v>
      </c>
      <c r="AF667" s="645">
        <f>102557.3+1731.6</f>
        <v>104288.90000000001</v>
      </c>
      <c r="AH667" s="3"/>
    </row>
    <row r="668" spans="1:35" ht="47.2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W668" s="3"/>
      <c r="X668" s="451" t="s">
        <v>728</v>
      </c>
      <c r="Y668" s="452" t="s">
        <v>414</v>
      </c>
      <c r="Z668" s="453" t="s">
        <v>8</v>
      </c>
      <c r="AA668" s="453" t="s">
        <v>30</v>
      </c>
      <c r="AB668" s="542" t="s">
        <v>470</v>
      </c>
      <c r="AC668" s="454"/>
      <c r="AD668" s="672">
        <f>AD671+AD669</f>
        <v>139244.70000000001</v>
      </c>
      <c r="AE668" s="672">
        <f t="shared" ref="AE668:AF668" si="191">AE671+AE669</f>
        <v>0</v>
      </c>
      <c r="AF668" s="672">
        <f t="shared" si="191"/>
        <v>0</v>
      </c>
      <c r="AH668" s="3"/>
    </row>
    <row r="669" spans="1:3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W669" s="3"/>
      <c r="X669" s="451" t="s">
        <v>120</v>
      </c>
      <c r="Y669" s="452" t="s">
        <v>414</v>
      </c>
      <c r="Z669" s="453" t="s">
        <v>8</v>
      </c>
      <c r="AA669" s="453" t="s">
        <v>30</v>
      </c>
      <c r="AB669" s="542" t="s">
        <v>470</v>
      </c>
      <c r="AC669" s="454">
        <v>200</v>
      </c>
      <c r="AD669" s="672">
        <f>AD670</f>
        <v>124655.7</v>
      </c>
      <c r="AE669" s="672">
        <f t="shared" ref="AE669:AF669" si="192">AE670</f>
        <v>0</v>
      </c>
      <c r="AF669" s="672">
        <f t="shared" si="192"/>
        <v>0</v>
      </c>
      <c r="AH669" s="3"/>
    </row>
    <row r="670" spans="1:35" ht="31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W670" s="3"/>
      <c r="X670" s="451" t="s">
        <v>52</v>
      </c>
      <c r="Y670" s="452" t="s">
        <v>414</v>
      </c>
      <c r="Z670" s="453" t="s">
        <v>8</v>
      </c>
      <c r="AA670" s="453" t="s">
        <v>30</v>
      </c>
      <c r="AB670" s="542" t="s">
        <v>470</v>
      </c>
      <c r="AC670" s="454">
        <v>240</v>
      </c>
      <c r="AD670" s="672">
        <v>124655.7</v>
      </c>
      <c r="AE670" s="634">
        <v>0</v>
      </c>
      <c r="AF670" s="645">
        <v>0</v>
      </c>
      <c r="AH670" s="3"/>
    </row>
    <row r="671" spans="1:35" ht="31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W671" s="3"/>
      <c r="X671" s="451" t="s">
        <v>60</v>
      </c>
      <c r="Y671" s="452" t="s">
        <v>414</v>
      </c>
      <c r="Z671" s="453" t="s">
        <v>8</v>
      </c>
      <c r="AA671" s="453" t="s">
        <v>30</v>
      </c>
      <c r="AB671" s="542" t="s">
        <v>470</v>
      </c>
      <c r="AC671" s="454">
        <v>600</v>
      </c>
      <c r="AD671" s="672">
        <f t="shared" si="190"/>
        <v>14589</v>
      </c>
      <c r="AE671" s="634">
        <f t="shared" si="190"/>
        <v>0</v>
      </c>
      <c r="AF671" s="645">
        <f t="shared" si="190"/>
        <v>0</v>
      </c>
      <c r="AH671" s="3"/>
    </row>
    <row r="672" spans="1:3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W672" s="3"/>
      <c r="X672" s="451" t="s">
        <v>61</v>
      </c>
      <c r="Y672" s="452" t="s">
        <v>414</v>
      </c>
      <c r="Z672" s="453" t="s">
        <v>8</v>
      </c>
      <c r="AA672" s="453" t="s">
        <v>30</v>
      </c>
      <c r="AB672" s="542" t="s">
        <v>470</v>
      </c>
      <c r="AC672" s="454">
        <v>610</v>
      </c>
      <c r="AD672" s="672">
        <f>834.1+6980.5+5000+1774.4</f>
        <v>14589</v>
      </c>
      <c r="AE672" s="634">
        <v>0</v>
      </c>
      <c r="AF672" s="645">
        <v>0</v>
      </c>
      <c r="AG672" s="263"/>
      <c r="AH672" s="3"/>
    </row>
    <row r="673" spans="1:34" ht="1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W673" s="3"/>
      <c r="X673" s="662" t="s">
        <v>511</v>
      </c>
      <c r="Y673" s="452" t="s">
        <v>414</v>
      </c>
      <c r="Z673" s="453" t="s">
        <v>8</v>
      </c>
      <c r="AA673" s="453" t="s">
        <v>30</v>
      </c>
      <c r="AB673" s="541" t="s">
        <v>471</v>
      </c>
      <c r="AC673" s="482"/>
      <c r="AD673" s="672">
        <f t="shared" ref="AD673:AF674" si="193">AD674</f>
        <v>479541</v>
      </c>
      <c r="AE673" s="634">
        <f t="shared" si="193"/>
        <v>479541</v>
      </c>
      <c r="AF673" s="645">
        <f t="shared" si="193"/>
        <v>479541</v>
      </c>
      <c r="AH673" s="3"/>
    </row>
    <row r="674" spans="1:34" ht="31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W674" s="3"/>
      <c r="X674" s="451" t="s">
        <v>60</v>
      </c>
      <c r="Y674" s="452" t="s">
        <v>414</v>
      </c>
      <c r="Z674" s="453" t="s">
        <v>8</v>
      </c>
      <c r="AA674" s="453" t="s">
        <v>30</v>
      </c>
      <c r="AB674" s="541" t="s">
        <v>471</v>
      </c>
      <c r="AC674" s="454">
        <v>600</v>
      </c>
      <c r="AD674" s="672">
        <f t="shared" si="193"/>
        <v>479541</v>
      </c>
      <c r="AE674" s="634">
        <f t="shared" si="193"/>
        <v>479541</v>
      </c>
      <c r="AF674" s="645">
        <f t="shared" si="193"/>
        <v>479541</v>
      </c>
      <c r="AH674" s="3"/>
    </row>
    <row r="675" spans="1:34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W675" s="3"/>
      <c r="X675" s="451" t="s">
        <v>61</v>
      </c>
      <c r="Y675" s="452" t="s">
        <v>414</v>
      </c>
      <c r="Z675" s="453" t="s">
        <v>8</v>
      </c>
      <c r="AA675" s="453" t="s">
        <v>30</v>
      </c>
      <c r="AB675" s="541" t="s">
        <v>471</v>
      </c>
      <c r="AC675" s="454">
        <v>610</v>
      </c>
      <c r="AD675" s="672">
        <f>361802+95703+22036</f>
        <v>479541</v>
      </c>
      <c r="AE675" s="634">
        <f>361802+95703+22036</f>
        <v>479541</v>
      </c>
      <c r="AF675" s="645">
        <f>361802+95703+22036</f>
        <v>479541</v>
      </c>
      <c r="AH675" s="3"/>
    </row>
    <row r="676" spans="1:34" ht="31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W676" s="3"/>
      <c r="X676" s="451" t="s">
        <v>773</v>
      </c>
      <c r="Y676" s="452" t="s">
        <v>414</v>
      </c>
      <c r="Z676" s="453" t="s">
        <v>8</v>
      </c>
      <c r="AA676" s="453" t="s">
        <v>30</v>
      </c>
      <c r="AB676" s="542" t="s">
        <v>624</v>
      </c>
      <c r="AC676" s="573"/>
      <c r="AD676" s="672">
        <f t="shared" ref="AD676:AF677" si="194">AD677</f>
        <v>1708</v>
      </c>
      <c r="AE676" s="634">
        <f t="shared" si="194"/>
        <v>1708</v>
      </c>
      <c r="AF676" s="645">
        <f t="shared" si="194"/>
        <v>1708</v>
      </c>
      <c r="AH676" s="3"/>
    </row>
    <row r="677" spans="1:34" ht="31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W677" s="3"/>
      <c r="X677" s="451" t="s">
        <v>60</v>
      </c>
      <c r="Y677" s="467" t="s">
        <v>414</v>
      </c>
      <c r="Z677" s="453" t="s">
        <v>8</v>
      </c>
      <c r="AA677" s="453" t="s">
        <v>30</v>
      </c>
      <c r="AB677" s="542" t="s">
        <v>624</v>
      </c>
      <c r="AC677" s="482">
        <v>600</v>
      </c>
      <c r="AD677" s="672">
        <f t="shared" si="194"/>
        <v>1708</v>
      </c>
      <c r="AE677" s="634">
        <f t="shared" si="194"/>
        <v>1708</v>
      </c>
      <c r="AF677" s="645">
        <f t="shared" si="194"/>
        <v>1708</v>
      </c>
      <c r="AH677" s="3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W678" s="3"/>
      <c r="X678" s="451" t="s">
        <v>61</v>
      </c>
      <c r="Y678" s="452" t="s">
        <v>414</v>
      </c>
      <c r="Z678" s="453" t="s">
        <v>8</v>
      </c>
      <c r="AA678" s="453" t="s">
        <v>30</v>
      </c>
      <c r="AB678" s="542" t="s">
        <v>624</v>
      </c>
      <c r="AC678" s="482">
        <v>610</v>
      </c>
      <c r="AD678" s="672">
        <f>800+908</f>
        <v>1708</v>
      </c>
      <c r="AE678" s="634">
        <f>800+908</f>
        <v>1708</v>
      </c>
      <c r="AF678" s="645">
        <f>800+908</f>
        <v>1708</v>
      </c>
      <c r="AH678" s="3"/>
    </row>
    <row r="679" spans="1:34" ht="63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W679" s="3"/>
      <c r="X679" s="451" t="s">
        <v>656</v>
      </c>
      <c r="Y679" s="452" t="s">
        <v>414</v>
      </c>
      <c r="Z679" s="453" t="s">
        <v>8</v>
      </c>
      <c r="AA679" s="453" t="s">
        <v>30</v>
      </c>
      <c r="AB679" s="541" t="s">
        <v>657</v>
      </c>
      <c r="AC679" s="454"/>
      <c r="AD679" s="672">
        <f>AD680</f>
        <v>1910</v>
      </c>
      <c r="AE679" s="634">
        <f t="shared" ref="AE679:AF680" si="195">AE680</f>
        <v>0</v>
      </c>
      <c r="AF679" s="645">
        <f t="shared" si="195"/>
        <v>0</v>
      </c>
      <c r="AH679" s="3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W680" s="3"/>
      <c r="X680" s="451" t="s">
        <v>60</v>
      </c>
      <c r="Y680" s="452" t="s">
        <v>414</v>
      </c>
      <c r="Z680" s="453" t="s">
        <v>8</v>
      </c>
      <c r="AA680" s="453" t="s">
        <v>30</v>
      </c>
      <c r="AB680" s="541" t="s">
        <v>657</v>
      </c>
      <c r="AC680" s="454">
        <v>600</v>
      </c>
      <c r="AD680" s="672">
        <f>AD681</f>
        <v>1910</v>
      </c>
      <c r="AE680" s="634">
        <f t="shared" si="195"/>
        <v>0</v>
      </c>
      <c r="AF680" s="645">
        <f t="shared" si="195"/>
        <v>0</v>
      </c>
      <c r="AH680" s="3"/>
    </row>
    <row r="681" spans="1:34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W681" s="3"/>
      <c r="X681" s="451" t="s">
        <v>61</v>
      </c>
      <c r="Y681" s="452" t="s">
        <v>414</v>
      </c>
      <c r="Z681" s="453" t="s">
        <v>8</v>
      </c>
      <c r="AA681" s="453" t="s">
        <v>30</v>
      </c>
      <c r="AB681" s="541" t="s">
        <v>657</v>
      </c>
      <c r="AC681" s="454">
        <v>610</v>
      </c>
      <c r="AD681" s="672">
        <f>1910</f>
        <v>1910</v>
      </c>
      <c r="AE681" s="634">
        <v>0</v>
      </c>
      <c r="AF681" s="645">
        <v>0</v>
      </c>
      <c r="AH681" s="3"/>
    </row>
    <row r="682" spans="1:34" ht="36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W682" s="3"/>
      <c r="X682" s="451" t="s">
        <v>780</v>
      </c>
      <c r="Y682" s="452" t="s">
        <v>414</v>
      </c>
      <c r="Z682" s="453" t="s">
        <v>8</v>
      </c>
      <c r="AA682" s="453" t="s">
        <v>30</v>
      </c>
      <c r="AB682" s="541" t="s">
        <v>662</v>
      </c>
      <c r="AC682" s="454"/>
      <c r="AD682" s="672">
        <f>AD683</f>
        <v>27264</v>
      </c>
      <c r="AE682" s="634">
        <f t="shared" ref="AE682:AF683" si="196">AE683</f>
        <v>27264</v>
      </c>
      <c r="AF682" s="645">
        <f t="shared" si="196"/>
        <v>27264</v>
      </c>
      <c r="AH682" s="3"/>
    </row>
    <row r="683" spans="1:34" ht="31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W683" s="3"/>
      <c r="X683" s="451" t="s">
        <v>60</v>
      </c>
      <c r="Y683" s="452" t="s">
        <v>414</v>
      </c>
      <c r="Z683" s="453" t="s">
        <v>8</v>
      </c>
      <c r="AA683" s="453" t="s">
        <v>30</v>
      </c>
      <c r="AB683" s="541" t="s">
        <v>662</v>
      </c>
      <c r="AC683" s="454">
        <v>600</v>
      </c>
      <c r="AD683" s="672">
        <f>AD684</f>
        <v>27264</v>
      </c>
      <c r="AE683" s="634">
        <f t="shared" si="196"/>
        <v>27264</v>
      </c>
      <c r="AF683" s="645">
        <f t="shared" si="196"/>
        <v>27264</v>
      </c>
      <c r="AH683" s="3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W684" s="3"/>
      <c r="X684" s="451" t="s">
        <v>61</v>
      </c>
      <c r="Y684" s="452" t="s">
        <v>414</v>
      </c>
      <c r="Z684" s="453" t="s">
        <v>8</v>
      </c>
      <c r="AA684" s="453" t="s">
        <v>30</v>
      </c>
      <c r="AB684" s="541" t="s">
        <v>662</v>
      </c>
      <c r="AC684" s="454">
        <v>610</v>
      </c>
      <c r="AD684" s="672">
        <v>27264</v>
      </c>
      <c r="AE684" s="634">
        <v>27264</v>
      </c>
      <c r="AF684" s="645">
        <v>27264</v>
      </c>
      <c r="AH684" s="3"/>
    </row>
    <row r="685" spans="1:34" ht="47.2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W685" s="3"/>
      <c r="X685" s="459" t="s">
        <v>267</v>
      </c>
      <c r="Y685" s="452" t="s">
        <v>414</v>
      </c>
      <c r="Z685" s="453" t="s">
        <v>8</v>
      </c>
      <c r="AA685" s="453" t="s">
        <v>30</v>
      </c>
      <c r="AB685" s="542" t="s">
        <v>126</v>
      </c>
      <c r="AC685" s="454"/>
      <c r="AD685" s="672">
        <f>AD686+AD689+AD692</f>
        <v>46662.299999999996</v>
      </c>
      <c r="AE685" s="672">
        <f t="shared" ref="AE685:AF685" si="197">AE686+AE689+AE692</f>
        <v>51469</v>
      </c>
      <c r="AF685" s="672">
        <f t="shared" si="197"/>
        <v>38704.6</v>
      </c>
      <c r="AG685" s="3"/>
      <c r="AH685" s="3"/>
    </row>
    <row r="686" spans="1:34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W686" s="3"/>
      <c r="X686" s="451" t="s">
        <v>510</v>
      </c>
      <c r="Y686" s="452" t="s">
        <v>414</v>
      </c>
      <c r="Z686" s="453" t="s">
        <v>8</v>
      </c>
      <c r="AA686" s="453" t="s">
        <v>30</v>
      </c>
      <c r="AB686" s="542" t="s">
        <v>472</v>
      </c>
      <c r="AC686" s="454"/>
      <c r="AD686" s="672">
        <f t="shared" ref="AD686:AF687" si="198">AD687</f>
        <v>18</v>
      </c>
      <c r="AE686" s="634">
        <f t="shared" si="198"/>
        <v>18</v>
      </c>
      <c r="AF686" s="645">
        <f t="shared" si="198"/>
        <v>18</v>
      </c>
      <c r="AG686" s="3"/>
      <c r="AH686" s="3"/>
    </row>
    <row r="687" spans="1:34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W687" s="3"/>
      <c r="X687" s="451" t="s">
        <v>60</v>
      </c>
      <c r="Y687" s="452" t="s">
        <v>414</v>
      </c>
      <c r="Z687" s="453" t="s">
        <v>8</v>
      </c>
      <c r="AA687" s="453" t="s">
        <v>30</v>
      </c>
      <c r="AB687" s="542" t="s">
        <v>472</v>
      </c>
      <c r="AC687" s="482">
        <v>600</v>
      </c>
      <c r="AD687" s="672">
        <f t="shared" si="198"/>
        <v>18</v>
      </c>
      <c r="AE687" s="634">
        <f t="shared" si="198"/>
        <v>18</v>
      </c>
      <c r="AF687" s="645">
        <f t="shared" si="198"/>
        <v>18</v>
      </c>
      <c r="AG687" s="3"/>
      <c r="AH687" s="3"/>
    </row>
    <row r="688" spans="1:34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W688" s="3"/>
      <c r="X688" s="451" t="s">
        <v>61</v>
      </c>
      <c r="Y688" s="452" t="s">
        <v>414</v>
      </c>
      <c r="Z688" s="453" t="s">
        <v>8</v>
      </c>
      <c r="AA688" s="453" t="s">
        <v>30</v>
      </c>
      <c r="AB688" s="542" t="s">
        <v>472</v>
      </c>
      <c r="AC688" s="482">
        <v>610</v>
      </c>
      <c r="AD688" s="672">
        <v>18</v>
      </c>
      <c r="AE688" s="634">
        <v>18</v>
      </c>
      <c r="AF688" s="645">
        <v>18</v>
      </c>
      <c r="AG688" s="3"/>
      <c r="AH688" s="3"/>
    </row>
    <row r="689" spans="1:34" ht="7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W689" s="3"/>
      <c r="X689" s="451" t="s">
        <v>750</v>
      </c>
      <c r="Y689" s="452" t="s">
        <v>414</v>
      </c>
      <c r="Z689" s="453" t="s">
        <v>8</v>
      </c>
      <c r="AA689" s="453" t="s">
        <v>30</v>
      </c>
      <c r="AB689" s="541" t="s">
        <v>749</v>
      </c>
      <c r="AC689" s="454"/>
      <c r="AD689" s="672">
        <f t="shared" ref="AD689:AF690" si="199">AD690</f>
        <v>39953.799999999996</v>
      </c>
      <c r="AE689" s="634">
        <f t="shared" si="199"/>
        <v>39547.4</v>
      </c>
      <c r="AF689" s="645">
        <f t="shared" si="199"/>
        <v>38686.6</v>
      </c>
      <c r="AG689" s="3"/>
      <c r="AH689" s="3"/>
    </row>
    <row r="690" spans="1:34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W690" s="3"/>
      <c r="X690" s="451" t="s">
        <v>120</v>
      </c>
      <c r="Y690" s="452" t="s">
        <v>414</v>
      </c>
      <c r="Z690" s="453" t="s">
        <v>8</v>
      </c>
      <c r="AA690" s="453" t="s">
        <v>30</v>
      </c>
      <c r="AB690" s="541" t="s">
        <v>749</v>
      </c>
      <c r="AC690" s="454">
        <v>200</v>
      </c>
      <c r="AD690" s="672">
        <f t="shared" si="199"/>
        <v>39953.799999999996</v>
      </c>
      <c r="AE690" s="634">
        <f t="shared" si="199"/>
        <v>39547.4</v>
      </c>
      <c r="AF690" s="645">
        <f t="shared" si="199"/>
        <v>38686.6</v>
      </c>
      <c r="AG690" s="3"/>
      <c r="AH690" s="3"/>
    </row>
    <row r="691" spans="1:34" ht="31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W691" s="3"/>
      <c r="X691" s="451" t="s">
        <v>52</v>
      </c>
      <c r="Y691" s="452" t="s">
        <v>414</v>
      </c>
      <c r="Z691" s="453" t="s">
        <v>8</v>
      </c>
      <c r="AA691" s="453" t="s">
        <v>30</v>
      </c>
      <c r="AB691" s="541" t="s">
        <v>749</v>
      </c>
      <c r="AC691" s="454">
        <v>240</v>
      </c>
      <c r="AD691" s="672">
        <f>36496.8-538.4+4055.2-59.8</f>
        <v>39953.799999999996</v>
      </c>
      <c r="AE691" s="634">
        <f>36086.9-494.2+4009.7-55</f>
        <v>39547.4</v>
      </c>
      <c r="AF691" s="645">
        <f>34817.9+3868.7</f>
        <v>38686.6</v>
      </c>
      <c r="AG691" s="3"/>
      <c r="AH691" s="3"/>
    </row>
    <row r="692" spans="1:34" ht="31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W692" s="3"/>
      <c r="X692" s="451" t="s">
        <v>837</v>
      </c>
      <c r="Y692" s="452" t="s">
        <v>414</v>
      </c>
      <c r="Z692" s="453" t="s">
        <v>8</v>
      </c>
      <c r="AA692" s="453" t="s">
        <v>30</v>
      </c>
      <c r="AB692" s="541" t="s">
        <v>838</v>
      </c>
      <c r="AC692" s="454"/>
      <c r="AD692" s="672">
        <f>AD693</f>
        <v>6690.5</v>
      </c>
      <c r="AE692" s="672">
        <f t="shared" ref="AE692:AF692" si="200">AE693</f>
        <v>11903.6</v>
      </c>
      <c r="AF692" s="672">
        <f t="shared" si="200"/>
        <v>0</v>
      </c>
      <c r="AG692" s="3"/>
      <c r="AH692" s="3"/>
    </row>
    <row r="693" spans="1:34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W693" s="3"/>
      <c r="X693" s="451" t="s">
        <v>120</v>
      </c>
      <c r="Y693" s="452" t="s">
        <v>414</v>
      </c>
      <c r="Z693" s="453" t="s">
        <v>8</v>
      </c>
      <c r="AA693" s="453" t="s">
        <v>30</v>
      </c>
      <c r="AB693" s="541" t="s">
        <v>838</v>
      </c>
      <c r="AC693" s="454">
        <v>200</v>
      </c>
      <c r="AD693" s="672">
        <f>AD694</f>
        <v>6690.5</v>
      </c>
      <c r="AE693" s="672">
        <f t="shared" ref="AE693:AF693" si="201">AE694</f>
        <v>11903.6</v>
      </c>
      <c r="AF693" s="672">
        <f t="shared" si="201"/>
        <v>0</v>
      </c>
      <c r="AG693" s="3"/>
      <c r="AH693" s="3"/>
    </row>
    <row r="694" spans="1:34" ht="31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W694" s="3"/>
      <c r="X694" s="451" t="s">
        <v>52</v>
      </c>
      <c r="Y694" s="452" t="s">
        <v>414</v>
      </c>
      <c r="Z694" s="453" t="s">
        <v>8</v>
      </c>
      <c r="AA694" s="453" t="s">
        <v>30</v>
      </c>
      <c r="AB694" s="541" t="s">
        <v>838</v>
      </c>
      <c r="AC694" s="454">
        <v>240</v>
      </c>
      <c r="AD694" s="672">
        <f>6021.5+669</f>
        <v>6690.5</v>
      </c>
      <c r="AE694" s="634">
        <f>10713.2+1190.4</f>
        <v>11903.6</v>
      </c>
      <c r="AF694" s="645">
        <v>0</v>
      </c>
      <c r="AG694" s="3"/>
      <c r="AH694" s="3"/>
    </row>
    <row r="695" spans="1:34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W695" s="3"/>
      <c r="X695" s="451" t="s">
        <v>842</v>
      </c>
      <c r="Y695" s="452" t="s">
        <v>414</v>
      </c>
      <c r="Z695" s="453" t="s">
        <v>8</v>
      </c>
      <c r="AA695" s="453" t="s">
        <v>30</v>
      </c>
      <c r="AB695" s="542" t="s">
        <v>844</v>
      </c>
      <c r="AC695" s="454"/>
      <c r="AD695" s="672">
        <f>AD696</f>
        <v>4673.3</v>
      </c>
      <c r="AE695" s="672">
        <f t="shared" ref="AE695:AF697" si="202">AE696</f>
        <v>0</v>
      </c>
      <c r="AF695" s="672">
        <f t="shared" si="202"/>
        <v>0</v>
      </c>
      <c r="AG695" s="3"/>
      <c r="AH695" s="3"/>
    </row>
    <row r="696" spans="1:3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W696" s="3"/>
      <c r="X696" s="451" t="s">
        <v>843</v>
      </c>
      <c r="Y696" s="452" t="s">
        <v>414</v>
      </c>
      <c r="Z696" s="453" t="s">
        <v>8</v>
      </c>
      <c r="AA696" s="453" t="s">
        <v>30</v>
      </c>
      <c r="AB696" s="542" t="s">
        <v>845</v>
      </c>
      <c r="AC696" s="454"/>
      <c r="AD696" s="672">
        <f>AD697</f>
        <v>4673.3</v>
      </c>
      <c r="AE696" s="672">
        <f t="shared" si="202"/>
        <v>0</v>
      </c>
      <c r="AF696" s="672">
        <f t="shared" si="202"/>
        <v>0</v>
      </c>
      <c r="AG696" s="3"/>
      <c r="AH696" s="3"/>
    </row>
    <row r="697" spans="1:34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W697" s="3"/>
      <c r="X697" s="451" t="s">
        <v>60</v>
      </c>
      <c r="Y697" s="452" t="s">
        <v>414</v>
      </c>
      <c r="Z697" s="453" t="s">
        <v>8</v>
      </c>
      <c r="AA697" s="453" t="s">
        <v>30</v>
      </c>
      <c r="AB697" s="542" t="s">
        <v>845</v>
      </c>
      <c r="AC697" s="482">
        <v>600</v>
      </c>
      <c r="AD697" s="672">
        <f>AD698</f>
        <v>4673.3</v>
      </c>
      <c r="AE697" s="672">
        <f t="shared" si="202"/>
        <v>0</v>
      </c>
      <c r="AF697" s="672">
        <f t="shared" si="202"/>
        <v>0</v>
      </c>
      <c r="AG697" s="3"/>
      <c r="AH697" s="3">
        <v>0</v>
      </c>
    </row>
    <row r="698" spans="1:3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W698" s="3"/>
      <c r="X698" s="451" t="s">
        <v>61</v>
      </c>
      <c r="Y698" s="452" t="s">
        <v>414</v>
      </c>
      <c r="Z698" s="453" t="s">
        <v>8</v>
      </c>
      <c r="AA698" s="453" t="s">
        <v>30</v>
      </c>
      <c r="AB698" s="542" t="s">
        <v>845</v>
      </c>
      <c r="AC698" s="482">
        <v>610</v>
      </c>
      <c r="AD698" s="672">
        <f>2920.9+876.2+876.2</f>
        <v>4673.3</v>
      </c>
      <c r="AE698" s="634">
        <v>0</v>
      </c>
      <c r="AF698" s="645">
        <v>0</v>
      </c>
      <c r="AG698" s="3"/>
      <c r="AH698" s="3"/>
    </row>
    <row r="699" spans="1:34" ht="47.2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W699" s="3"/>
      <c r="X699" s="459" t="s">
        <v>312</v>
      </c>
      <c r="Y699" s="452" t="s">
        <v>414</v>
      </c>
      <c r="Z699" s="453" t="s">
        <v>8</v>
      </c>
      <c r="AA699" s="453" t="s">
        <v>30</v>
      </c>
      <c r="AB699" s="542" t="s">
        <v>473</v>
      </c>
      <c r="AC699" s="482"/>
      <c r="AD699" s="672">
        <f>AD700+AD703</f>
        <v>5237.8999999999996</v>
      </c>
      <c r="AE699" s="634">
        <f>AE700+AE703</f>
        <v>5237.8999999999996</v>
      </c>
      <c r="AF699" s="645">
        <f>AF700+AF703</f>
        <v>5237.8999999999996</v>
      </c>
      <c r="AG699" s="3"/>
      <c r="AH699" s="3"/>
    </row>
    <row r="700" spans="1:34" ht="47.2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W700" s="3"/>
      <c r="X700" s="459" t="s">
        <v>432</v>
      </c>
      <c r="Y700" s="452" t="s">
        <v>414</v>
      </c>
      <c r="Z700" s="453" t="s">
        <v>8</v>
      </c>
      <c r="AA700" s="453" t="s">
        <v>30</v>
      </c>
      <c r="AB700" s="542" t="s">
        <v>474</v>
      </c>
      <c r="AC700" s="482"/>
      <c r="AD700" s="672">
        <f t="shared" ref="AD700:AF701" si="203">AD701</f>
        <v>1865.9</v>
      </c>
      <c r="AE700" s="634">
        <f t="shared" si="203"/>
        <v>1865.9</v>
      </c>
      <c r="AF700" s="645">
        <f t="shared" si="203"/>
        <v>1865.9</v>
      </c>
      <c r="AG700" s="3"/>
      <c r="AH700" s="3"/>
    </row>
    <row r="701" spans="1:34" ht="31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W701" s="3"/>
      <c r="X701" s="451" t="s">
        <v>60</v>
      </c>
      <c r="Y701" s="452" t="s">
        <v>414</v>
      </c>
      <c r="Z701" s="453" t="s">
        <v>8</v>
      </c>
      <c r="AA701" s="453" t="s">
        <v>30</v>
      </c>
      <c r="AB701" s="542" t="s">
        <v>474</v>
      </c>
      <c r="AC701" s="482">
        <v>600</v>
      </c>
      <c r="AD701" s="672">
        <f t="shared" si="203"/>
        <v>1865.9</v>
      </c>
      <c r="AE701" s="634">
        <f t="shared" si="203"/>
        <v>1865.9</v>
      </c>
      <c r="AF701" s="645">
        <f t="shared" si="203"/>
        <v>1865.9</v>
      </c>
      <c r="AG701" s="3"/>
      <c r="AH701" s="3"/>
    </row>
    <row r="702" spans="1:34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W702" s="3"/>
      <c r="X702" s="451" t="s">
        <v>61</v>
      </c>
      <c r="Y702" s="452" t="s">
        <v>414</v>
      </c>
      <c r="Z702" s="453" t="s">
        <v>8</v>
      </c>
      <c r="AA702" s="453" t="s">
        <v>30</v>
      </c>
      <c r="AB702" s="542" t="s">
        <v>474</v>
      </c>
      <c r="AC702" s="482">
        <v>610</v>
      </c>
      <c r="AD702" s="672">
        <v>1865.9</v>
      </c>
      <c r="AE702" s="634">
        <v>1865.9</v>
      </c>
      <c r="AF702" s="645">
        <v>1865.9</v>
      </c>
      <c r="AG702" s="3"/>
      <c r="AH702" s="3"/>
    </row>
    <row r="703" spans="1:34" ht="63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W703" s="3"/>
      <c r="X703" s="451" t="s">
        <v>625</v>
      </c>
      <c r="Y703" s="452" t="s">
        <v>414</v>
      </c>
      <c r="Z703" s="453" t="s">
        <v>8</v>
      </c>
      <c r="AA703" s="453" t="s">
        <v>30</v>
      </c>
      <c r="AB703" s="542" t="s">
        <v>623</v>
      </c>
      <c r="AC703" s="473"/>
      <c r="AD703" s="672">
        <f t="shared" ref="AD703:AF704" si="204">AD704</f>
        <v>3372</v>
      </c>
      <c r="AE703" s="634">
        <f t="shared" si="204"/>
        <v>3372</v>
      </c>
      <c r="AF703" s="645">
        <f t="shared" si="204"/>
        <v>3372</v>
      </c>
      <c r="AG703" s="3"/>
      <c r="AH703" s="3"/>
    </row>
    <row r="704" spans="1:34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W704" s="3"/>
      <c r="X704" s="451" t="s">
        <v>60</v>
      </c>
      <c r="Y704" s="452" t="s">
        <v>414</v>
      </c>
      <c r="Z704" s="453" t="s">
        <v>8</v>
      </c>
      <c r="AA704" s="453" t="s">
        <v>30</v>
      </c>
      <c r="AB704" s="542" t="s">
        <v>623</v>
      </c>
      <c r="AC704" s="482">
        <v>600</v>
      </c>
      <c r="AD704" s="672">
        <f t="shared" si="204"/>
        <v>3372</v>
      </c>
      <c r="AE704" s="634">
        <f t="shared" si="204"/>
        <v>3372</v>
      </c>
      <c r="AF704" s="645">
        <f t="shared" si="204"/>
        <v>3372</v>
      </c>
      <c r="AG704" s="3"/>
      <c r="AH704" s="3"/>
    </row>
    <row r="705" spans="1:3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W705" s="3"/>
      <c r="X705" s="451" t="s">
        <v>61</v>
      </c>
      <c r="Y705" s="452" t="s">
        <v>414</v>
      </c>
      <c r="Z705" s="453" t="s">
        <v>8</v>
      </c>
      <c r="AA705" s="453" t="s">
        <v>30</v>
      </c>
      <c r="AB705" s="542" t="s">
        <v>623</v>
      </c>
      <c r="AC705" s="482">
        <v>610</v>
      </c>
      <c r="AD705" s="672">
        <v>3372</v>
      </c>
      <c r="AE705" s="634">
        <v>3372</v>
      </c>
      <c r="AF705" s="645">
        <v>3372</v>
      </c>
      <c r="AG705" s="3"/>
      <c r="AH705" s="3"/>
    </row>
    <row r="706" spans="1:3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W706" s="3"/>
      <c r="X706" s="523" t="s">
        <v>743</v>
      </c>
      <c r="Y706" s="452" t="s">
        <v>414</v>
      </c>
      <c r="Z706" s="515" t="s">
        <v>8</v>
      </c>
      <c r="AA706" s="515" t="s">
        <v>30</v>
      </c>
      <c r="AB706" s="409" t="s">
        <v>744</v>
      </c>
      <c r="AC706" s="575"/>
      <c r="AD706" s="672">
        <f>AD707</f>
        <v>2483.4</v>
      </c>
      <c r="AE706" s="634">
        <f t="shared" ref="AE706:AF706" si="205">AE707</f>
        <v>0</v>
      </c>
      <c r="AF706" s="645">
        <f t="shared" si="205"/>
        <v>0</v>
      </c>
      <c r="AG706" s="3"/>
      <c r="AH706" s="3"/>
    </row>
    <row r="707" spans="1:35" ht="31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W707" s="3"/>
      <c r="X707" s="523" t="s">
        <v>745</v>
      </c>
      <c r="Y707" s="452" t="s">
        <v>414</v>
      </c>
      <c r="Z707" s="515" t="s">
        <v>8</v>
      </c>
      <c r="AA707" s="515" t="s">
        <v>30</v>
      </c>
      <c r="AB707" s="409" t="s">
        <v>746</v>
      </c>
      <c r="AC707" s="575"/>
      <c r="AD707" s="672">
        <f>AD708</f>
        <v>2483.4</v>
      </c>
      <c r="AE707" s="634">
        <f t="shared" ref="AE707:AF707" si="206">AE708</f>
        <v>0</v>
      </c>
      <c r="AF707" s="645">
        <f t="shared" si="206"/>
        <v>0</v>
      </c>
      <c r="AG707" s="3"/>
      <c r="AH707" s="3"/>
    </row>
    <row r="708" spans="1:3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W708" s="3"/>
      <c r="X708" s="451" t="s">
        <v>120</v>
      </c>
      <c r="Y708" s="452" t="s">
        <v>414</v>
      </c>
      <c r="Z708" s="515" t="s">
        <v>8</v>
      </c>
      <c r="AA708" s="515" t="s">
        <v>30</v>
      </c>
      <c r="AB708" s="409" t="s">
        <v>746</v>
      </c>
      <c r="AC708" s="575">
        <v>200</v>
      </c>
      <c r="AD708" s="672">
        <f>AD709</f>
        <v>2483.4</v>
      </c>
      <c r="AE708" s="634">
        <f t="shared" ref="AE708:AF708" si="207">AE709</f>
        <v>0</v>
      </c>
      <c r="AF708" s="645">
        <f t="shared" si="207"/>
        <v>0</v>
      </c>
      <c r="AG708" s="3"/>
      <c r="AH708" s="3"/>
    </row>
    <row r="709" spans="1:35" ht="24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W709" s="3"/>
      <c r="X709" s="451" t="s">
        <v>52</v>
      </c>
      <c r="Y709" s="452" t="s">
        <v>414</v>
      </c>
      <c r="Z709" s="515" t="s">
        <v>8</v>
      </c>
      <c r="AA709" s="515" t="s">
        <v>30</v>
      </c>
      <c r="AB709" s="409" t="s">
        <v>746</v>
      </c>
      <c r="AC709" s="575">
        <v>240</v>
      </c>
      <c r="AD709" s="672">
        <f>1970.9+512.5</f>
        <v>2483.4</v>
      </c>
      <c r="AE709" s="634">
        <v>0</v>
      </c>
      <c r="AF709" s="645">
        <v>0</v>
      </c>
      <c r="AG709" s="3"/>
      <c r="AH709" s="3"/>
    </row>
    <row r="710" spans="1:3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W710" s="3"/>
      <c r="X710" s="523" t="s">
        <v>658</v>
      </c>
      <c r="Y710" s="452" t="s">
        <v>414</v>
      </c>
      <c r="Z710" s="515" t="s">
        <v>8</v>
      </c>
      <c r="AA710" s="515" t="s">
        <v>30</v>
      </c>
      <c r="AB710" s="409" t="s">
        <v>659</v>
      </c>
      <c r="AC710" s="575"/>
      <c r="AD710" s="672">
        <f>AD717+AD714+AD711</f>
        <v>40116.5</v>
      </c>
      <c r="AE710" s="634">
        <f t="shared" ref="AE710:AF710" si="208">AE717+AE714+AE711</f>
        <v>40141.5</v>
      </c>
      <c r="AF710" s="645">
        <f t="shared" si="208"/>
        <v>40172.5</v>
      </c>
      <c r="AG710" s="3"/>
      <c r="AH710" s="3"/>
    </row>
    <row r="711" spans="1:35" ht="108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W711" s="3"/>
      <c r="X711" s="523" t="s">
        <v>747</v>
      </c>
      <c r="Y711" s="452" t="s">
        <v>414</v>
      </c>
      <c r="Z711" s="515" t="s">
        <v>8</v>
      </c>
      <c r="AA711" s="515" t="s">
        <v>30</v>
      </c>
      <c r="AB711" s="409" t="s">
        <v>748</v>
      </c>
      <c r="AC711" s="575"/>
      <c r="AD711" s="672">
        <f>AD712</f>
        <v>312.5</v>
      </c>
      <c r="AE711" s="634">
        <f t="shared" ref="AE711:AF712" si="209">AE712</f>
        <v>312.5</v>
      </c>
      <c r="AF711" s="645">
        <f t="shared" si="209"/>
        <v>312.5</v>
      </c>
      <c r="AG711" s="3"/>
      <c r="AH711" s="3"/>
    </row>
    <row r="712" spans="1:35" ht="31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R712" s="3"/>
      <c r="S712" s="3"/>
      <c r="W712" s="3"/>
      <c r="X712" s="523" t="s">
        <v>60</v>
      </c>
      <c r="Y712" s="452" t="s">
        <v>414</v>
      </c>
      <c r="Z712" s="515" t="s">
        <v>8</v>
      </c>
      <c r="AA712" s="515" t="s">
        <v>30</v>
      </c>
      <c r="AB712" s="409" t="s">
        <v>748</v>
      </c>
      <c r="AC712" s="575">
        <v>600</v>
      </c>
      <c r="AD712" s="672">
        <f>AD713</f>
        <v>312.5</v>
      </c>
      <c r="AE712" s="634">
        <f t="shared" si="209"/>
        <v>312.5</v>
      </c>
      <c r="AF712" s="645">
        <f t="shared" si="209"/>
        <v>312.5</v>
      </c>
      <c r="AG712" s="3"/>
      <c r="AH712" s="3"/>
    </row>
    <row r="713" spans="1:3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R713" s="3"/>
      <c r="S713" s="3"/>
      <c r="W713" s="3"/>
      <c r="X713" s="523" t="s">
        <v>61</v>
      </c>
      <c r="Y713" s="452" t="s">
        <v>414</v>
      </c>
      <c r="Z713" s="515" t="s">
        <v>8</v>
      </c>
      <c r="AA713" s="515" t="s">
        <v>30</v>
      </c>
      <c r="AB713" s="409" t="s">
        <v>748</v>
      </c>
      <c r="AC713" s="575">
        <v>610</v>
      </c>
      <c r="AD713" s="672">
        <v>312.5</v>
      </c>
      <c r="AE713" s="634">
        <v>312.5</v>
      </c>
      <c r="AF713" s="645">
        <v>312.5</v>
      </c>
      <c r="AG713" s="3"/>
      <c r="AH713" s="3"/>
    </row>
    <row r="714" spans="1:35" ht="47.2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R714" s="3"/>
      <c r="S714" s="3"/>
      <c r="W714" s="3"/>
      <c r="X714" s="523" t="s">
        <v>663</v>
      </c>
      <c r="Y714" s="452" t="s">
        <v>414</v>
      </c>
      <c r="Z714" s="515" t="s">
        <v>8</v>
      </c>
      <c r="AA714" s="515" t="s">
        <v>30</v>
      </c>
      <c r="AB714" s="409" t="s">
        <v>664</v>
      </c>
      <c r="AC714" s="575"/>
      <c r="AD714" s="672">
        <f>AD715</f>
        <v>1681</v>
      </c>
      <c r="AE714" s="634">
        <f t="shared" ref="AE714:AF715" si="210">AE715</f>
        <v>1706</v>
      </c>
      <c r="AF714" s="645">
        <f t="shared" si="210"/>
        <v>1737</v>
      </c>
      <c r="AG714" s="3"/>
      <c r="AH714" s="3"/>
    </row>
    <row r="715" spans="1:35" ht="31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R715" s="3"/>
      <c r="S715" s="3"/>
      <c r="W715" s="3"/>
      <c r="X715" s="451" t="s">
        <v>60</v>
      </c>
      <c r="Y715" s="452" t="s">
        <v>414</v>
      </c>
      <c r="Z715" s="515" t="s">
        <v>8</v>
      </c>
      <c r="AA715" s="515" t="s">
        <v>30</v>
      </c>
      <c r="AB715" s="409" t="s">
        <v>664</v>
      </c>
      <c r="AC715" s="575">
        <v>600</v>
      </c>
      <c r="AD715" s="672">
        <f>AD716</f>
        <v>1681</v>
      </c>
      <c r="AE715" s="634">
        <f t="shared" si="210"/>
        <v>1706</v>
      </c>
      <c r="AF715" s="645">
        <f t="shared" si="210"/>
        <v>1737</v>
      </c>
      <c r="AG715" s="3"/>
      <c r="AH715" s="3"/>
    </row>
    <row r="716" spans="1:3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R716" s="3"/>
      <c r="S716" s="3"/>
      <c r="W716" s="3"/>
      <c r="X716" s="451" t="s">
        <v>61</v>
      </c>
      <c r="Y716" s="452" t="s">
        <v>414</v>
      </c>
      <c r="Z716" s="515" t="s">
        <v>8</v>
      </c>
      <c r="AA716" s="515" t="s">
        <v>30</v>
      </c>
      <c r="AB716" s="409" t="s">
        <v>664</v>
      </c>
      <c r="AC716" s="575">
        <v>610</v>
      </c>
      <c r="AD716" s="672">
        <v>1681</v>
      </c>
      <c r="AE716" s="634">
        <v>1706</v>
      </c>
      <c r="AF716" s="645">
        <v>1737</v>
      </c>
      <c r="AG716" s="3"/>
      <c r="AH716" s="3"/>
    </row>
    <row r="717" spans="1:35" ht="78.7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R717" s="3"/>
      <c r="S717" s="3"/>
      <c r="W717" s="3"/>
      <c r="X717" s="523" t="s">
        <v>660</v>
      </c>
      <c r="Y717" s="452" t="s">
        <v>414</v>
      </c>
      <c r="Z717" s="515" t="s">
        <v>8</v>
      </c>
      <c r="AA717" s="515" t="s">
        <v>30</v>
      </c>
      <c r="AB717" s="409" t="s">
        <v>661</v>
      </c>
      <c r="AC717" s="575"/>
      <c r="AD717" s="672">
        <f>AD718</f>
        <v>38123</v>
      </c>
      <c r="AE717" s="634">
        <f t="shared" ref="AE717:AF717" si="211">AE718</f>
        <v>38123</v>
      </c>
      <c r="AF717" s="645">
        <f t="shared" si="211"/>
        <v>38123</v>
      </c>
      <c r="AG717" s="3"/>
      <c r="AH717" s="3"/>
    </row>
    <row r="718" spans="1:35" ht="31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R718" s="3"/>
      <c r="S718" s="3"/>
      <c r="W718" s="3"/>
      <c r="X718" s="523" t="s">
        <v>60</v>
      </c>
      <c r="Y718" s="452" t="s">
        <v>414</v>
      </c>
      <c r="Z718" s="515" t="s">
        <v>8</v>
      </c>
      <c r="AA718" s="515" t="s">
        <v>30</v>
      </c>
      <c r="AB718" s="409" t="s">
        <v>661</v>
      </c>
      <c r="AC718" s="575">
        <v>600</v>
      </c>
      <c r="AD718" s="672">
        <f>AD719</f>
        <v>38123</v>
      </c>
      <c r="AE718" s="634">
        <f t="shared" ref="AE718:AF718" si="212">AE719</f>
        <v>38123</v>
      </c>
      <c r="AF718" s="645">
        <f t="shared" si="212"/>
        <v>38123</v>
      </c>
      <c r="AG718" s="3"/>
      <c r="AH718" s="3"/>
    </row>
    <row r="719" spans="1:3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R719" s="3"/>
      <c r="S719" s="3"/>
      <c r="W719" s="3"/>
      <c r="X719" s="523" t="s">
        <v>61</v>
      </c>
      <c r="Y719" s="452" t="s">
        <v>414</v>
      </c>
      <c r="Z719" s="515" t="s">
        <v>8</v>
      </c>
      <c r="AA719" s="515" t="s">
        <v>30</v>
      </c>
      <c r="AB719" s="409" t="s">
        <v>661</v>
      </c>
      <c r="AC719" s="575">
        <v>610</v>
      </c>
      <c r="AD719" s="672">
        <v>38123</v>
      </c>
      <c r="AE719" s="634">
        <v>38123</v>
      </c>
      <c r="AF719" s="645">
        <v>38123</v>
      </c>
      <c r="AG719" s="3"/>
      <c r="AH719" s="3"/>
    </row>
    <row r="720" spans="1:3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R720" s="3"/>
      <c r="S720" s="3"/>
      <c r="W720" s="3"/>
      <c r="X720" s="451" t="s">
        <v>134</v>
      </c>
      <c r="Y720" s="452" t="s">
        <v>414</v>
      </c>
      <c r="Z720" s="477" t="s">
        <v>8</v>
      </c>
      <c r="AA720" s="453" t="s">
        <v>7</v>
      </c>
      <c r="AB720" s="541"/>
      <c r="AC720" s="454"/>
      <c r="AD720" s="672">
        <f>AD721</f>
        <v>77805.399999999994</v>
      </c>
      <c r="AE720" s="634">
        <f t="shared" ref="AE720:AF720" si="213">AE721</f>
        <v>76082.2</v>
      </c>
      <c r="AF720" s="645">
        <f t="shared" si="213"/>
        <v>78468.3</v>
      </c>
      <c r="AI720" s="18"/>
    </row>
    <row r="721" spans="1:34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R721" s="3"/>
      <c r="S721" s="3"/>
      <c r="W721" s="3"/>
      <c r="X721" s="459" t="s">
        <v>262</v>
      </c>
      <c r="Y721" s="452" t="s">
        <v>414</v>
      </c>
      <c r="Z721" s="477" t="s">
        <v>8</v>
      </c>
      <c r="AA721" s="453" t="s">
        <v>7</v>
      </c>
      <c r="AB721" s="541" t="s">
        <v>100</v>
      </c>
      <c r="AC721" s="454"/>
      <c r="AD721" s="672">
        <f>AD722+AD727</f>
        <v>77805.399999999994</v>
      </c>
      <c r="AE721" s="634">
        <f>AE722+AE727</f>
        <v>76082.2</v>
      </c>
      <c r="AF721" s="645">
        <f>AF722+AF727</f>
        <v>78468.3</v>
      </c>
    </row>
    <row r="722" spans="1:3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R722" s="3"/>
      <c r="S722" s="3"/>
      <c r="W722" s="3"/>
      <c r="X722" s="459" t="s">
        <v>265</v>
      </c>
      <c r="Y722" s="452" t="s">
        <v>414</v>
      </c>
      <c r="Z722" s="477" t="s">
        <v>8</v>
      </c>
      <c r="AA722" s="453" t="s">
        <v>7</v>
      </c>
      <c r="AB722" s="542" t="s">
        <v>117</v>
      </c>
      <c r="AC722" s="454"/>
      <c r="AD722" s="672">
        <f>AD723</f>
        <v>5026</v>
      </c>
      <c r="AE722" s="634">
        <f>AE723</f>
        <v>5026</v>
      </c>
      <c r="AF722" s="645">
        <f>AF723</f>
        <v>5026</v>
      </c>
    </row>
    <row r="723" spans="1:34" ht="31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R723" s="3"/>
      <c r="S723" s="3"/>
      <c r="W723" s="3"/>
      <c r="X723" s="459" t="s">
        <v>266</v>
      </c>
      <c r="Y723" s="452" t="s">
        <v>414</v>
      </c>
      <c r="Z723" s="453" t="s">
        <v>8</v>
      </c>
      <c r="AA723" s="453" t="s">
        <v>7</v>
      </c>
      <c r="AB723" s="542" t="s">
        <v>447</v>
      </c>
      <c r="AC723" s="454"/>
      <c r="AD723" s="672">
        <f>AD724</f>
        <v>5026</v>
      </c>
      <c r="AE723" s="634">
        <f t="shared" ref="AE723:AF725" si="214">AE724</f>
        <v>5026</v>
      </c>
      <c r="AF723" s="645">
        <f t="shared" si="214"/>
        <v>5026</v>
      </c>
    </row>
    <row r="724" spans="1:34" ht="1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W724" s="3"/>
      <c r="X724" s="662" t="s">
        <v>511</v>
      </c>
      <c r="Y724" s="452" t="s">
        <v>414</v>
      </c>
      <c r="Z724" s="453" t="s">
        <v>8</v>
      </c>
      <c r="AA724" s="453" t="s">
        <v>7</v>
      </c>
      <c r="AB724" s="541" t="s">
        <v>471</v>
      </c>
      <c r="AC724" s="454"/>
      <c r="AD724" s="672">
        <f>AD725</f>
        <v>5026</v>
      </c>
      <c r="AE724" s="634">
        <f t="shared" si="214"/>
        <v>5026</v>
      </c>
      <c r="AF724" s="645">
        <f t="shared" si="214"/>
        <v>5026</v>
      </c>
    </row>
    <row r="725" spans="1:34" ht="31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W725" s="3"/>
      <c r="X725" s="451" t="s">
        <v>60</v>
      </c>
      <c r="Y725" s="467" t="s">
        <v>414</v>
      </c>
      <c r="Z725" s="453" t="s">
        <v>8</v>
      </c>
      <c r="AA725" s="453" t="s">
        <v>7</v>
      </c>
      <c r="AB725" s="541" t="s">
        <v>471</v>
      </c>
      <c r="AC725" s="454">
        <v>600</v>
      </c>
      <c r="AD725" s="672">
        <f>AD726</f>
        <v>5026</v>
      </c>
      <c r="AE725" s="634">
        <f t="shared" si="214"/>
        <v>5026</v>
      </c>
      <c r="AF725" s="645">
        <f t="shared" si="214"/>
        <v>5026</v>
      </c>
    </row>
    <row r="726" spans="1:3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R726" s="3"/>
      <c r="S726" s="3"/>
      <c r="W726" s="3"/>
      <c r="X726" s="451" t="s">
        <v>61</v>
      </c>
      <c r="Y726" s="467" t="s">
        <v>414</v>
      </c>
      <c r="Z726" s="453" t="s">
        <v>8</v>
      </c>
      <c r="AA726" s="453" t="s">
        <v>7</v>
      </c>
      <c r="AB726" s="541" t="s">
        <v>471</v>
      </c>
      <c r="AC726" s="454">
        <v>610</v>
      </c>
      <c r="AD726" s="672">
        <f>3758+1086+182</f>
        <v>5026</v>
      </c>
      <c r="AE726" s="634">
        <f>3758+1086+182</f>
        <v>5026</v>
      </c>
      <c r="AF726" s="645">
        <f>3758+1086+182</f>
        <v>5026</v>
      </c>
    </row>
    <row r="727" spans="1:34" ht="31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R727" s="3"/>
      <c r="S727" s="3"/>
      <c r="W727" s="3"/>
      <c r="X727" s="459" t="s">
        <v>475</v>
      </c>
      <c r="Y727" s="452">
        <v>901</v>
      </c>
      <c r="Z727" s="477" t="s">
        <v>8</v>
      </c>
      <c r="AA727" s="453" t="s">
        <v>7</v>
      </c>
      <c r="AB727" s="542" t="s">
        <v>101</v>
      </c>
      <c r="AC727" s="568"/>
      <c r="AD727" s="674">
        <f>AD728+AD733</f>
        <v>72779.399999999994</v>
      </c>
      <c r="AE727" s="636">
        <f>AE728+AE733</f>
        <v>71056.2</v>
      </c>
      <c r="AF727" s="646">
        <f>AF728+AF733</f>
        <v>73442.3</v>
      </c>
    </row>
    <row r="728" spans="1:34" ht="31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R728" s="3"/>
      <c r="S728" s="3"/>
      <c r="W728" s="3"/>
      <c r="X728" s="459" t="s">
        <v>512</v>
      </c>
      <c r="Y728" s="452">
        <v>901</v>
      </c>
      <c r="Z728" s="477" t="s">
        <v>8</v>
      </c>
      <c r="AA728" s="453" t="s">
        <v>7</v>
      </c>
      <c r="AB728" s="542" t="s">
        <v>477</v>
      </c>
      <c r="AC728" s="568"/>
      <c r="AD728" s="674">
        <f>AD729</f>
        <v>38763.899999999994</v>
      </c>
      <c r="AE728" s="636">
        <f t="shared" ref="AE728:AF729" si="215">AE729</f>
        <v>38974.5</v>
      </c>
      <c r="AF728" s="646">
        <f t="shared" si="215"/>
        <v>39288.600000000006</v>
      </c>
    </row>
    <row r="729" spans="1:34" ht="31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R729" s="3"/>
      <c r="S729" s="3"/>
      <c r="W729" s="3"/>
      <c r="X729" s="459" t="s">
        <v>268</v>
      </c>
      <c r="Y729" s="452">
        <v>901</v>
      </c>
      <c r="Z729" s="477" t="s">
        <v>8</v>
      </c>
      <c r="AA729" s="453" t="s">
        <v>7</v>
      </c>
      <c r="AB729" s="542" t="s">
        <v>478</v>
      </c>
      <c r="AC729" s="576"/>
      <c r="AD729" s="678">
        <f>AD730</f>
        <v>38763.899999999994</v>
      </c>
      <c r="AE729" s="640">
        <f t="shared" si="215"/>
        <v>38974.5</v>
      </c>
      <c r="AF729" s="651">
        <f t="shared" si="215"/>
        <v>39288.600000000006</v>
      </c>
    </row>
    <row r="730" spans="1:34" ht="31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R730" s="3"/>
      <c r="S730" s="3"/>
      <c r="W730" s="3"/>
      <c r="X730" s="451" t="s">
        <v>331</v>
      </c>
      <c r="Y730" s="452">
        <v>901</v>
      </c>
      <c r="Z730" s="477" t="s">
        <v>8</v>
      </c>
      <c r="AA730" s="453" t="s">
        <v>7</v>
      </c>
      <c r="AB730" s="542" t="s">
        <v>479</v>
      </c>
      <c r="AC730" s="577"/>
      <c r="AD730" s="674">
        <f t="shared" ref="AD730:AF731" si="216">AD731</f>
        <v>38763.899999999994</v>
      </c>
      <c r="AE730" s="636">
        <f t="shared" si="216"/>
        <v>38974.5</v>
      </c>
      <c r="AF730" s="646">
        <f t="shared" si="216"/>
        <v>39288.600000000006</v>
      </c>
    </row>
    <row r="731" spans="1:34" ht="31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W731" s="3"/>
      <c r="X731" s="451" t="s">
        <v>60</v>
      </c>
      <c r="Y731" s="452">
        <v>901</v>
      </c>
      <c r="Z731" s="477" t="s">
        <v>8</v>
      </c>
      <c r="AA731" s="453" t="s">
        <v>7</v>
      </c>
      <c r="AB731" s="542" t="s">
        <v>479</v>
      </c>
      <c r="AC731" s="454">
        <v>600</v>
      </c>
      <c r="AD731" s="674">
        <f t="shared" si="216"/>
        <v>38763.899999999994</v>
      </c>
      <c r="AE731" s="636">
        <f t="shared" si="216"/>
        <v>38974.5</v>
      </c>
      <c r="AF731" s="646">
        <f t="shared" si="216"/>
        <v>39288.600000000006</v>
      </c>
    </row>
    <row r="732" spans="1:34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W732" s="3"/>
      <c r="X732" s="451" t="s">
        <v>61</v>
      </c>
      <c r="Y732" s="452">
        <v>901</v>
      </c>
      <c r="Z732" s="477" t="s">
        <v>8</v>
      </c>
      <c r="AA732" s="453" t="s">
        <v>7</v>
      </c>
      <c r="AB732" s="542" t="s">
        <v>479</v>
      </c>
      <c r="AC732" s="454">
        <v>610</v>
      </c>
      <c r="AD732" s="672">
        <f>58226.1-19462.2</f>
        <v>38763.899999999994</v>
      </c>
      <c r="AE732" s="634">
        <f>58446.7-19472.2</f>
        <v>38974.5</v>
      </c>
      <c r="AF732" s="645">
        <f>58691.4-19402.8</f>
        <v>39288.600000000006</v>
      </c>
    </row>
    <row r="733" spans="1:34" ht="31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W733" s="3"/>
      <c r="X733" s="459" t="s">
        <v>480</v>
      </c>
      <c r="Y733" s="452">
        <v>901</v>
      </c>
      <c r="Z733" s="453" t="s">
        <v>8</v>
      </c>
      <c r="AA733" s="453" t="s">
        <v>7</v>
      </c>
      <c r="AB733" s="542" t="s">
        <v>481</v>
      </c>
      <c r="AC733" s="482"/>
      <c r="AD733" s="674">
        <f>AD734</f>
        <v>34015.5</v>
      </c>
      <c r="AE733" s="636">
        <f>AE734</f>
        <v>32081.7</v>
      </c>
      <c r="AF733" s="646">
        <f>AF734</f>
        <v>34153.699999999997</v>
      </c>
      <c r="AG733" s="3"/>
      <c r="AH733" s="3"/>
    </row>
    <row r="734" spans="1:34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W734" s="3"/>
      <c r="X734" s="662" t="s">
        <v>156</v>
      </c>
      <c r="Y734" s="452">
        <v>901</v>
      </c>
      <c r="Z734" s="477" t="s">
        <v>8</v>
      </c>
      <c r="AA734" s="453" t="s">
        <v>7</v>
      </c>
      <c r="AB734" s="542" t="s">
        <v>482</v>
      </c>
      <c r="AC734" s="454"/>
      <c r="AD734" s="672">
        <f>AD735</f>
        <v>34015.5</v>
      </c>
      <c r="AE734" s="672">
        <f t="shared" ref="AE734:AF734" si="217">AE735</f>
        <v>32081.7</v>
      </c>
      <c r="AF734" s="672">
        <f t="shared" si="217"/>
        <v>34153.699999999997</v>
      </c>
      <c r="AG734" s="3"/>
      <c r="AH734" s="3"/>
    </row>
    <row r="735" spans="1:34" ht="31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W735" s="3"/>
      <c r="X735" s="451" t="s">
        <v>60</v>
      </c>
      <c r="Y735" s="452">
        <v>901</v>
      </c>
      <c r="Z735" s="477" t="s">
        <v>8</v>
      </c>
      <c r="AA735" s="453" t="s">
        <v>7</v>
      </c>
      <c r="AB735" s="542" t="s">
        <v>482</v>
      </c>
      <c r="AC735" s="454">
        <v>600</v>
      </c>
      <c r="AD735" s="672">
        <f>AD736+AD737+AD738</f>
        <v>34015.5</v>
      </c>
      <c r="AE735" s="634">
        <f>AE736+AE737+AE738</f>
        <v>32081.7</v>
      </c>
      <c r="AF735" s="645">
        <f>AF736+AF737+AF738</f>
        <v>34153.699999999997</v>
      </c>
      <c r="AG735" s="3"/>
      <c r="AH735" s="3"/>
    </row>
    <row r="736" spans="1:34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W736" s="3"/>
      <c r="X736" s="451" t="s">
        <v>61</v>
      </c>
      <c r="Y736" s="452">
        <v>901</v>
      </c>
      <c r="Z736" s="477" t="s">
        <v>8</v>
      </c>
      <c r="AA736" s="453" t="s">
        <v>7</v>
      </c>
      <c r="AB736" s="542" t="s">
        <v>482</v>
      </c>
      <c r="AC736" s="454">
        <v>610</v>
      </c>
      <c r="AD736" s="672">
        <f>629.3+12290.3+17770.2-12817.5+12817.5</f>
        <v>30689.8</v>
      </c>
      <c r="AE736" s="634">
        <f>629.3+12384+17771.3-2037.5</f>
        <v>28747.1</v>
      </c>
      <c r="AF736" s="645">
        <f>629.3+12487.9+17699</f>
        <v>30816.199999999997</v>
      </c>
      <c r="AG736" s="3"/>
      <c r="AH736" s="3"/>
    </row>
    <row r="737" spans="1:3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R737" s="3"/>
      <c r="S737" s="3"/>
      <c r="W737" s="3"/>
      <c r="X737" s="451" t="s">
        <v>130</v>
      </c>
      <c r="Y737" s="452">
        <v>901</v>
      </c>
      <c r="Z737" s="477" t="s">
        <v>8</v>
      </c>
      <c r="AA737" s="453" t="s">
        <v>7</v>
      </c>
      <c r="AB737" s="542" t="s">
        <v>482</v>
      </c>
      <c r="AC737" s="454">
        <v>620</v>
      </c>
      <c r="AD737" s="672">
        <f>628.7+2068.3</f>
        <v>2697</v>
      </c>
      <c r="AE737" s="634">
        <f>628.7+2077.2</f>
        <v>2705.8999999999996</v>
      </c>
      <c r="AF737" s="645">
        <f>628.7+2080.1</f>
        <v>2708.8</v>
      </c>
      <c r="AG737" s="3"/>
      <c r="AH737" s="3"/>
    </row>
    <row r="738" spans="1:34" ht="47.2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R738" s="3"/>
      <c r="S738" s="3"/>
      <c r="W738" s="3"/>
      <c r="X738" s="451" t="s">
        <v>364</v>
      </c>
      <c r="Y738" s="452">
        <v>901</v>
      </c>
      <c r="Z738" s="477" t="s">
        <v>8</v>
      </c>
      <c r="AA738" s="453" t="s">
        <v>7</v>
      </c>
      <c r="AB738" s="542" t="s">
        <v>482</v>
      </c>
      <c r="AC738" s="454">
        <v>630</v>
      </c>
      <c r="AD738" s="672">
        <v>628.70000000000005</v>
      </c>
      <c r="AE738" s="634">
        <v>628.70000000000005</v>
      </c>
      <c r="AF738" s="645">
        <v>628.70000000000005</v>
      </c>
      <c r="AG738" s="3"/>
      <c r="AH738" s="3"/>
    </row>
    <row r="739" spans="1:3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R739" s="3"/>
      <c r="S739" s="3"/>
      <c r="W739" s="3"/>
      <c r="X739" s="451" t="s">
        <v>135</v>
      </c>
      <c r="Y739" s="452">
        <v>901</v>
      </c>
      <c r="Z739" s="453" t="s">
        <v>8</v>
      </c>
      <c r="AA739" s="453" t="s">
        <v>8</v>
      </c>
      <c r="AB739" s="542"/>
      <c r="AC739" s="454"/>
      <c r="AD739" s="672">
        <f t="shared" ref="AD739:AD744" si="218">AD740</f>
        <v>1250.5</v>
      </c>
      <c r="AE739" s="634">
        <f t="shared" ref="AE739:AF744" si="219">AE740</f>
        <v>1250.5</v>
      </c>
      <c r="AF739" s="645">
        <f t="shared" si="219"/>
        <v>1250.5</v>
      </c>
      <c r="AG739" s="3"/>
      <c r="AH739" s="3"/>
    </row>
    <row r="740" spans="1:34" ht="31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R740" s="3"/>
      <c r="S740" s="3"/>
      <c r="W740" s="3"/>
      <c r="X740" s="459" t="s">
        <v>298</v>
      </c>
      <c r="Y740" s="452">
        <v>901</v>
      </c>
      <c r="Z740" s="453" t="s">
        <v>8</v>
      </c>
      <c r="AA740" s="453" t="s">
        <v>8</v>
      </c>
      <c r="AB740" s="542" t="s">
        <v>132</v>
      </c>
      <c r="AC740" s="454"/>
      <c r="AD740" s="672">
        <f>AD741</f>
        <v>1250.5</v>
      </c>
      <c r="AE740" s="672">
        <f t="shared" si="219"/>
        <v>1250.5</v>
      </c>
      <c r="AF740" s="672">
        <f t="shared" si="219"/>
        <v>1250.5</v>
      </c>
      <c r="AG740" s="3"/>
      <c r="AH740" s="3"/>
    </row>
    <row r="741" spans="1:34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R741" s="3"/>
      <c r="S741" s="3"/>
      <c r="W741" s="3"/>
      <c r="X741" s="459" t="s">
        <v>307</v>
      </c>
      <c r="Y741" s="452">
        <v>901</v>
      </c>
      <c r="Z741" s="474" t="s">
        <v>8</v>
      </c>
      <c r="AA741" s="474" t="s">
        <v>8</v>
      </c>
      <c r="AB741" s="542" t="s">
        <v>308</v>
      </c>
      <c r="AC741" s="454"/>
      <c r="AD741" s="672">
        <f t="shared" si="218"/>
        <v>1250.5</v>
      </c>
      <c r="AE741" s="634">
        <f t="shared" si="219"/>
        <v>1250.5</v>
      </c>
      <c r="AF741" s="645">
        <f t="shared" si="219"/>
        <v>1250.5</v>
      </c>
      <c r="AG741" s="3"/>
      <c r="AH741" s="3"/>
    </row>
    <row r="742" spans="1:34" ht="63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R742" s="3"/>
      <c r="S742" s="3"/>
      <c r="W742" s="3"/>
      <c r="X742" s="655" t="s">
        <v>579</v>
      </c>
      <c r="Y742" s="452">
        <v>901</v>
      </c>
      <c r="Z742" s="474" t="s">
        <v>8</v>
      </c>
      <c r="AA742" s="474" t="s">
        <v>8</v>
      </c>
      <c r="AB742" s="543" t="s">
        <v>580</v>
      </c>
      <c r="AC742" s="454"/>
      <c r="AD742" s="672">
        <f t="shared" si="218"/>
        <v>1250.5</v>
      </c>
      <c r="AE742" s="634">
        <f t="shared" si="219"/>
        <v>1250.5</v>
      </c>
      <c r="AF742" s="645">
        <f t="shared" si="219"/>
        <v>1250.5</v>
      </c>
      <c r="AG742" s="3"/>
      <c r="AH742" s="3"/>
    </row>
    <row r="743" spans="1:34" ht="31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R743" s="3"/>
      <c r="S743" s="3"/>
      <c r="W743" s="3"/>
      <c r="X743" s="655" t="s">
        <v>776</v>
      </c>
      <c r="Y743" s="452">
        <v>901</v>
      </c>
      <c r="Z743" s="453" t="s">
        <v>8</v>
      </c>
      <c r="AA743" s="453" t="s">
        <v>8</v>
      </c>
      <c r="AB743" s="543" t="s">
        <v>581</v>
      </c>
      <c r="AC743" s="454"/>
      <c r="AD743" s="672">
        <f t="shared" si="218"/>
        <v>1250.5</v>
      </c>
      <c r="AE743" s="634">
        <f t="shared" si="219"/>
        <v>1250.5</v>
      </c>
      <c r="AF743" s="645">
        <f t="shared" si="219"/>
        <v>1250.5</v>
      </c>
      <c r="AG743" s="3"/>
      <c r="AH743" s="3"/>
    </row>
    <row r="744" spans="1:34" ht="31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R744" s="3"/>
      <c r="S744" s="3"/>
      <c r="W744" s="3"/>
      <c r="X744" s="451" t="s">
        <v>60</v>
      </c>
      <c r="Y744" s="452">
        <v>901</v>
      </c>
      <c r="Z744" s="474" t="s">
        <v>8</v>
      </c>
      <c r="AA744" s="474" t="s">
        <v>8</v>
      </c>
      <c r="AB744" s="543" t="s">
        <v>581</v>
      </c>
      <c r="AC744" s="454">
        <v>600</v>
      </c>
      <c r="AD744" s="672">
        <f t="shared" si="218"/>
        <v>1250.5</v>
      </c>
      <c r="AE744" s="634">
        <f t="shared" si="219"/>
        <v>1250.5</v>
      </c>
      <c r="AF744" s="645">
        <f t="shared" si="219"/>
        <v>1250.5</v>
      </c>
      <c r="AG744" s="3"/>
      <c r="AH744" s="3"/>
    </row>
    <row r="745" spans="1:34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R745" s="3"/>
      <c r="S745" s="3"/>
      <c r="W745" s="3"/>
      <c r="X745" s="451" t="s">
        <v>61</v>
      </c>
      <c r="Y745" s="452">
        <v>901</v>
      </c>
      <c r="Z745" s="474" t="s">
        <v>8</v>
      </c>
      <c r="AA745" s="474" t="s">
        <v>8</v>
      </c>
      <c r="AB745" s="543" t="s">
        <v>581</v>
      </c>
      <c r="AC745" s="454">
        <v>610</v>
      </c>
      <c r="AD745" s="672">
        <v>1250.5</v>
      </c>
      <c r="AE745" s="634">
        <v>1250.5</v>
      </c>
      <c r="AF745" s="645">
        <v>1250.5</v>
      </c>
      <c r="AG745" s="3"/>
      <c r="AH745" s="3"/>
    </row>
    <row r="746" spans="1:34" ht="17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R746" s="3"/>
      <c r="S746" s="3"/>
      <c r="W746" s="3"/>
      <c r="X746" s="451" t="s">
        <v>38</v>
      </c>
      <c r="Y746" s="452">
        <v>901</v>
      </c>
      <c r="Z746" s="453" t="s">
        <v>8</v>
      </c>
      <c r="AA746" s="453" t="s">
        <v>22</v>
      </c>
      <c r="AB746" s="541"/>
      <c r="AC746" s="454"/>
      <c r="AD746" s="672">
        <f>AD747+AD763+AD773</f>
        <v>31606.100000000002</v>
      </c>
      <c r="AE746" s="634">
        <f>AE747+AE763+AE773</f>
        <v>29969.100000000002</v>
      </c>
      <c r="AF746" s="645">
        <f>AF747+AF763+AF773</f>
        <v>30006.100000000002</v>
      </c>
      <c r="AG746" s="3"/>
      <c r="AH746" s="3"/>
    </row>
    <row r="747" spans="1:34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R747" s="3"/>
      <c r="S747" s="3"/>
      <c r="W747" s="3"/>
      <c r="X747" s="459" t="s">
        <v>262</v>
      </c>
      <c r="Y747" s="452">
        <v>901</v>
      </c>
      <c r="Z747" s="453" t="s">
        <v>8</v>
      </c>
      <c r="AA747" s="453" t="s">
        <v>22</v>
      </c>
      <c r="AB747" s="541" t="s">
        <v>100</v>
      </c>
      <c r="AC747" s="482"/>
      <c r="AD747" s="672">
        <f t="shared" ref="AD747:AF748" si="220">AD748</f>
        <v>26653.100000000002</v>
      </c>
      <c r="AE747" s="634">
        <f t="shared" si="220"/>
        <v>25755.100000000002</v>
      </c>
      <c r="AF747" s="645">
        <f t="shared" si="220"/>
        <v>25755.100000000002</v>
      </c>
      <c r="AG747" s="3"/>
      <c r="AH747" s="3"/>
    </row>
    <row r="748" spans="1:34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R748" s="3"/>
      <c r="S748" s="3"/>
      <c r="W748" s="3"/>
      <c r="X748" s="459" t="s">
        <v>48</v>
      </c>
      <c r="Y748" s="452" t="s">
        <v>414</v>
      </c>
      <c r="Z748" s="453" t="s">
        <v>8</v>
      </c>
      <c r="AA748" s="453" t="s">
        <v>22</v>
      </c>
      <c r="AB748" s="542" t="s">
        <v>483</v>
      </c>
      <c r="AC748" s="454"/>
      <c r="AD748" s="672">
        <f t="shared" si="220"/>
        <v>26653.100000000002</v>
      </c>
      <c r="AE748" s="634">
        <f t="shared" si="220"/>
        <v>25755.100000000002</v>
      </c>
      <c r="AF748" s="645">
        <f t="shared" si="220"/>
        <v>25755.100000000002</v>
      </c>
      <c r="AG748" s="3"/>
      <c r="AH748" s="3"/>
    </row>
    <row r="749" spans="1:34" ht="31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R749" s="3"/>
      <c r="S749" s="3"/>
      <c r="W749" s="3"/>
      <c r="X749" s="459" t="s">
        <v>269</v>
      </c>
      <c r="Y749" s="452" t="s">
        <v>414</v>
      </c>
      <c r="Z749" s="453" t="s">
        <v>8</v>
      </c>
      <c r="AA749" s="453" t="s">
        <v>22</v>
      </c>
      <c r="AB749" s="542" t="s">
        <v>484</v>
      </c>
      <c r="AC749" s="454"/>
      <c r="AD749" s="672">
        <f>AD750+AD760</f>
        <v>26653.100000000002</v>
      </c>
      <c r="AE749" s="634">
        <f>AE750+AE760</f>
        <v>25755.100000000002</v>
      </c>
      <c r="AF749" s="645">
        <f>AF750+AF760</f>
        <v>25755.100000000002</v>
      </c>
      <c r="AG749" s="3"/>
      <c r="AH749" s="3"/>
    </row>
    <row r="750" spans="1:34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R750" s="3"/>
      <c r="S750" s="3"/>
      <c r="W750" s="3"/>
      <c r="X750" s="662" t="s">
        <v>205</v>
      </c>
      <c r="Y750" s="452" t="s">
        <v>414</v>
      </c>
      <c r="Z750" s="453" t="s">
        <v>8</v>
      </c>
      <c r="AA750" s="453" t="s">
        <v>22</v>
      </c>
      <c r="AB750" s="542" t="s">
        <v>485</v>
      </c>
      <c r="AC750" s="454"/>
      <c r="AD750" s="672">
        <f>AD751+AD754+AD757</f>
        <v>26465.200000000001</v>
      </c>
      <c r="AE750" s="634">
        <f>AE751+AE754+AE757</f>
        <v>25567.200000000001</v>
      </c>
      <c r="AF750" s="645">
        <f>AF751+AF754+AF757</f>
        <v>25567.200000000001</v>
      </c>
      <c r="AG750" s="3"/>
      <c r="AH750" s="3"/>
    </row>
    <row r="751" spans="1:34" ht="31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R751" s="3"/>
      <c r="S751" s="3"/>
      <c r="W751" s="3"/>
      <c r="X751" s="451" t="s">
        <v>206</v>
      </c>
      <c r="Y751" s="452" t="s">
        <v>414</v>
      </c>
      <c r="Z751" s="453" t="s">
        <v>8</v>
      </c>
      <c r="AA751" s="453" t="s">
        <v>22</v>
      </c>
      <c r="AB751" s="542" t="s">
        <v>486</v>
      </c>
      <c r="AC751" s="454"/>
      <c r="AD751" s="672">
        <f>AD752</f>
        <v>1485.2</v>
      </c>
      <c r="AE751" s="634">
        <f t="shared" ref="AE751:AF751" si="221">AE752</f>
        <v>1485.2</v>
      </c>
      <c r="AF751" s="645">
        <f t="shared" si="221"/>
        <v>1485.2</v>
      </c>
      <c r="AG751" s="3"/>
      <c r="AH751" s="3"/>
    </row>
    <row r="752" spans="1:34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R752" s="3"/>
      <c r="S752" s="3"/>
      <c r="W752" s="3"/>
      <c r="X752" s="451" t="s">
        <v>120</v>
      </c>
      <c r="Y752" s="452" t="s">
        <v>414</v>
      </c>
      <c r="Z752" s="453" t="s">
        <v>8</v>
      </c>
      <c r="AA752" s="453" t="s">
        <v>22</v>
      </c>
      <c r="AB752" s="542" t="s">
        <v>486</v>
      </c>
      <c r="AC752" s="454">
        <v>200</v>
      </c>
      <c r="AD752" s="672">
        <f>AD753</f>
        <v>1485.2</v>
      </c>
      <c r="AE752" s="634">
        <f>AE753</f>
        <v>1485.2</v>
      </c>
      <c r="AF752" s="645">
        <f>AF753</f>
        <v>1485.2</v>
      </c>
      <c r="AG752" s="3"/>
      <c r="AH752" s="3"/>
    </row>
    <row r="753" spans="1:34" ht="31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R753" s="3"/>
      <c r="S753" s="3"/>
      <c r="W753" s="3"/>
      <c r="X753" s="451" t="s">
        <v>52</v>
      </c>
      <c r="Y753" s="452" t="s">
        <v>414</v>
      </c>
      <c r="Z753" s="453" t="s">
        <v>8</v>
      </c>
      <c r="AA753" s="453" t="s">
        <v>22</v>
      </c>
      <c r="AB753" s="542" t="s">
        <v>486</v>
      </c>
      <c r="AC753" s="454">
        <v>240</v>
      </c>
      <c r="AD753" s="672">
        <v>1485.2</v>
      </c>
      <c r="AE753" s="634">
        <v>1485.2</v>
      </c>
      <c r="AF753" s="645">
        <v>1485.2</v>
      </c>
      <c r="AG753" s="3"/>
      <c r="AH753" s="3"/>
    </row>
    <row r="754" spans="1:34" ht="31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R754" s="3"/>
      <c r="S754" s="3"/>
      <c r="W754" s="3"/>
      <c r="X754" s="451" t="s">
        <v>350</v>
      </c>
      <c r="Y754" s="452" t="s">
        <v>414</v>
      </c>
      <c r="Z754" s="453" t="s">
        <v>8</v>
      </c>
      <c r="AA754" s="453" t="s">
        <v>22</v>
      </c>
      <c r="AB754" s="542" t="s">
        <v>487</v>
      </c>
      <c r="AC754" s="454"/>
      <c r="AD754" s="672">
        <f t="shared" ref="AD754:AF755" si="222">AD755</f>
        <v>11514.6</v>
      </c>
      <c r="AE754" s="634">
        <f t="shared" si="222"/>
        <v>10616.6</v>
      </c>
      <c r="AF754" s="645">
        <f t="shared" si="222"/>
        <v>10616.6</v>
      </c>
      <c r="AG754" s="3"/>
      <c r="AH754" s="3"/>
    </row>
    <row r="755" spans="1:34" ht="47.2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R755" s="3"/>
      <c r="S755" s="3"/>
      <c r="W755" s="3"/>
      <c r="X755" s="451" t="s">
        <v>41</v>
      </c>
      <c r="Y755" s="452" t="s">
        <v>414</v>
      </c>
      <c r="Z755" s="453" t="s">
        <v>8</v>
      </c>
      <c r="AA755" s="453" t="s">
        <v>22</v>
      </c>
      <c r="AB755" s="542" t="s">
        <v>487</v>
      </c>
      <c r="AC755" s="454">
        <v>100</v>
      </c>
      <c r="AD755" s="672">
        <f t="shared" si="222"/>
        <v>11514.6</v>
      </c>
      <c r="AE755" s="634">
        <f t="shared" si="222"/>
        <v>10616.6</v>
      </c>
      <c r="AF755" s="645">
        <f t="shared" si="222"/>
        <v>10616.6</v>
      </c>
      <c r="AG755" s="3"/>
      <c r="AH755" s="3"/>
    </row>
    <row r="756" spans="1:34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R756" s="3"/>
      <c r="S756" s="3"/>
      <c r="W756" s="3"/>
      <c r="X756" s="451" t="s">
        <v>96</v>
      </c>
      <c r="Y756" s="452" t="s">
        <v>414</v>
      </c>
      <c r="Z756" s="453" t="s">
        <v>8</v>
      </c>
      <c r="AA756" s="453" t="s">
        <v>22</v>
      </c>
      <c r="AB756" s="542" t="s">
        <v>487</v>
      </c>
      <c r="AC756" s="454">
        <v>120</v>
      </c>
      <c r="AD756" s="672">
        <f>10616.6+898</f>
        <v>11514.6</v>
      </c>
      <c r="AE756" s="634">
        <v>10616.6</v>
      </c>
      <c r="AF756" s="645">
        <v>10616.6</v>
      </c>
      <c r="AG756" s="3"/>
      <c r="AH756" s="3"/>
    </row>
    <row r="757" spans="1:34" ht="31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R757" s="3"/>
      <c r="S757" s="3"/>
      <c r="W757" s="3"/>
      <c r="X757" s="451" t="s">
        <v>270</v>
      </c>
      <c r="Y757" s="452" t="s">
        <v>414</v>
      </c>
      <c r="Z757" s="453" t="s">
        <v>8</v>
      </c>
      <c r="AA757" s="453" t="s">
        <v>22</v>
      </c>
      <c r="AB757" s="542" t="s">
        <v>488</v>
      </c>
      <c r="AC757" s="454"/>
      <c r="AD757" s="672">
        <f t="shared" ref="AD757:AF758" si="223">AD758</f>
        <v>13465.4</v>
      </c>
      <c r="AE757" s="634">
        <f t="shared" si="223"/>
        <v>13465.4</v>
      </c>
      <c r="AF757" s="645">
        <f t="shared" si="223"/>
        <v>13465.4</v>
      </c>
      <c r="AG757" s="3"/>
      <c r="AH757" s="3"/>
    </row>
    <row r="758" spans="1:34" ht="47.2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R758" s="3"/>
      <c r="S758" s="3"/>
      <c r="W758" s="3"/>
      <c r="X758" s="451" t="s">
        <v>41</v>
      </c>
      <c r="Y758" s="452" t="s">
        <v>414</v>
      </c>
      <c r="Z758" s="453" t="s">
        <v>8</v>
      </c>
      <c r="AA758" s="453" t="s">
        <v>22</v>
      </c>
      <c r="AB758" s="542" t="s">
        <v>488</v>
      </c>
      <c r="AC758" s="454">
        <v>100</v>
      </c>
      <c r="AD758" s="672">
        <f t="shared" si="223"/>
        <v>13465.4</v>
      </c>
      <c r="AE758" s="634">
        <f t="shared" si="223"/>
        <v>13465.4</v>
      </c>
      <c r="AF758" s="645">
        <f t="shared" si="223"/>
        <v>13465.4</v>
      </c>
      <c r="AG758" s="3"/>
      <c r="AH758" s="3"/>
    </row>
    <row r="759" spans="1:34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R759" s="3"/>
      <c r="S759" s="3"/>
      <c r="W759" s="3"/>
      <c r="X759" s="451" t="s">
        <v>96</v>
      </c>
      <c r="Y759" s="452" t="s">
        <v>414</v>
      </c>
      <c r="Z759" s="453" t="s">
        <v>8</v>
      </c>
      <c r="AA759" s="453" t="s">
        <v>22</v>
      </c>
      <c r="AB759" s="542" t="s">
        <v>488</v>
      </c>
      <c r="AC759" s="454">
        <v>120</v>
      </c>
      <c r="AD759" s="672">
        <v>13465.4</v>
      </c>
      <c r="AE759" s="634">
        <v>13465.4</v>
      </c>
      <c r="AF759" s="645">
        <v>13465.4</v>
      </c>
      <c r="AG759" s="3"/>
      <c r="AH759" s="3"/>
    </row>
    <row r="760" spans="1:34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R760" s="3"/>
      <c r="S760" s="3"/>
      <c r="W760" s="3"/>
      <c r="X760" s="451" t="s">
        <v>271</v>
      </c>
      <c r="Y760" s="452" t="s">
        <v>414</v>
      </c>
      <c r="Z760" s="453" t="s">
        <v>8</v>
      </c>
      <c r="AA760" s="453" t="s">
        <v>22</v>
      </c>
      <c r="AB760" s="542" t="s">
        <v>489</v>
      </c>
      <c r="AC760" s="454"/>
      <c r="AD760" s="672">
        <f t="shared" ref="AD760:AF761" si="224">AD761</f>
        <v>187.9</v>
      </c>
      <c r="AE760" s="634">
        <f t="shared" si="224"/>
        <v>187.9</v>
      </c>
      <c r="AF760" s="645">
        <f t="shared" si="224"/>
        <v>187.9</v>
      </c>
      <c r="AG760" s="3"/>
      <c r="AH760" s="3"/>
    </row>
    <row r="761" spans="1:34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R761" s="3"/>
      <c r="S761" s="3"/>
      <c r="W761" s="3"/>
      <c r="X761" s="451" t="s">
        <v>120</v>
      </c>
      <c r="Y761" s="452" t="s">
        <v>414</v>
      </c>
      <c r="Z761" s="453" t="s">
        <v>8</v>
      </c>
      <c r="AA761" s="453" t="s">
        <v>22</v>
      </c>
      <c r="AB761" s="542" t="s">
        <v>489</v>
      </c>
      <c r="AC761" s="454">
        <v>200</v>
      </c>
      <c r="AD761" s="672">
        <f t="shared" si="224"/>
        <v>187.9</v>
      </c>
      <c r="AE761" s="634">
        <f t="shared" si="224"/>
        <v>187.9</v>
      </c>
      <c r="AF761" s="645">
        <f t="shared" si="224"/>
        <v>187.9</v>
      </c>
      <c r="AG761" s="3"/>
      <c r="AH761" s="3"/>
    </row>
    <row r="762" spans="1:34" ht="31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R762" s="3"/>
      <c r="S762" s="3"/>
      <c r="W762" s="3"/>
      <c r="X762" s="451" t="s">
        <v>52</v>
      </c>
      <c r="Y762" s="452" t="s">
        <v>414</v>
      </c>
      <c r="Z762" s="453" t="s">
        <v>8</v>
      </c>
      <c r="AA762" s="453" t="s">
        <v>22</v>
      </c>
      <c r="AB762" s="542" t="s">
        <v>489</v>
      </c>
      <c r="AC762" s="454">
        <v>240</v>
      </c>
      <c r="AD762" s="672">
        <v>187.9</v>
      </c>
      <c r="AE762" s="634">
        <v>187.9</v>
      </c>
      <c r="AF762" s="645">
        <v>187.9</v>
      </c>
      <c r="AG762" s="3"/>
      <c r="AH762" s="3"/>
    </row>
    <row r="763" spans="1:34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R763" s="3"/>
      <c r="S763" s="3"/>
      <c r="W763" s="3"/>
      <c r="X763" s="457" t="s">
        <v>292</v>
      </c>
      <c r="Y763" s="452" t="s">
        <v>414</v>
      </c>
      <c r="Z763" s="453" t="s">
        <v>8</v>
      </c>
      <c r="AA763" s="453" t="s">
        <v>22</v>
      </c>
      <c r="AB763" s="542" t="s">
        <v>109</v>
      </c>
      <c r="AC763" s="454"/>
      <c r="AD763" s="672">
        <f t="shared" ref="AD763:AF765" si="225">AD764</f>
        <v>4006</v>
      </c>
      <c r="AE763" s="634">
        <f t="shared" si="225"/>
        <v>4214</v>
      </c>
      <c r="AF763" s="645">
        <f t="shared" si="225"/>
        <v>4251</v>
      </c>
      <c r="AG763" s="3"/>
      <c r="AH763" s="3"/>
    </row>
    <row r="764" spans="1:34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R764" s="3"/>
      <c r="S764" s="3"/>
      <c r="W764" s="3"/>
      <c r="X764" s="457" t="s">
        <v>296</v>
      </c>
      <c r="Y764" s="452" t="s">
        <v>414</v>
      </c>
      <c r="Z764" s="453" t="s">
        <v>8</v>
      </c>
      <c r="AA764" s="453" t="s">
        <v>22</v>
      </c>
      <c r="AB764" s="542" t="s">
        <v>110</v>
      </c>
      <c r="AC764" s="454"/>
      <c r="AD764" s="672">
        <f t="shared" si="225"/>
        <v>4006</v>
      </c>
      <c r="AE764" s="634">
        <f t="shared" si="225"/>
        <v>4214</v>
      </c>
      <c r="AF764" s="645">
        <f t="shared" si="225"/>
        <v>4251</v>
      </c>
      <c r="AG764" s="3"/>
      <c r="AH764" s="3"/>
    </row>
    <row r="765" spans="1:34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R765" s="3"/>
      <c r="S765" s="3"/>
      <c r="W765" s="3"/>
      <c r="X765" s="465" t="s">
        <v>514</v>
      </c>
      <c r="Y765" s="452" t="s">
        <v>414</v>
      </c>
      <c r="Z765" s="453" t="s">
        <v>8</v>
      </c>
      <c r="AA765" s="453" t="s">
        <v>22</v>
      </c>
      <c r="AB765" s="542" t="s">
        <v>503</v>
      </c>
      <c r="AC765" s="454"/>
      <c r="AD765" s="672">
        <f>AD766</f>
        <v>4006</v>
      </c>
      <c r="AE765" s="634">
        <f t="shared" si="225"/>
        <v>4214</v>
      </c>
      <c r="AF765" s="645">
        <f t="shared" si="225"/>
        <v>4251</v>
      </c>
      <c r="AG765" s="3"/>
      <c r="AH765" s="3"/>
    </row>
    <row r="766" spans="1:34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R766" s="3"/>
      <c r="S766" s="3"/>
      <c r="W766" s="3"/>
      <c r="X766" s="465" t="s">
        <v>297</v>
      </c>
      <c r="Y766" s="452" t="s">
        <v>414</v>
      </c>
      <c r="Z766" s="453" t="s">
        <v>8</v>
      </c>
      <c r="AA766" s="453" t="s">
        <v>22</v>
      </c>
      <c r="AB766" s="542" t="s">
        <v>505</v>
      </c>
      <c r="AC766" s="454"/>
      <c r="AD766" s="672">
        <f>AD770+AD767</f>
        <v>4006</v>
      </c>
      <c r="AE766" s="634">
        <f>AE770+AE767</f>
        <v>4214</v>
      </c>
      <c r="AF766" s="645">
        <f>AF770+AF767</f>
        <v>4251</v>
      </c>
      <c r="AG766" s="3"/>
      <c r="AH766" s="3"/>
    </row>
    <row r="767" spans="1:34" ht="47.2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R767" s="3"/>
      <c r="S767" s="3"/>
      <c r="W767" s="3"/>
      <c r="X767" s="465" t="s">
        <v>317</v>
      </c>
      <c r="Y767" s="452" t="s">
        <v>414</v>
      </c>
      <c r="Z767" s="453" t="s">
        <v>8</v>
      </c>
      <c r="AA767" s="453" t="s">
        <v>22</v>
      </c>
      <c r="AB767" s="542" t="s">
        <v>506</v>
      </c>
      <c r="AC767" s="454"/>
      <c r="AD767" s="672">
        <f t="shared" ref="AD767:AF768" si="226">AD768</f>
        <v>2056</v>
      </c>
      <c r="AE767" s="634">
        <f t="shared" si="226"/>
        <v>2144</v>
      </c>
      <c r="AF767" s="645">
        <f t="shared" si="226"/>
        <v>2171</v>
      </c>
      <c r="AG767" s="3"/>
      <c r="AH767" s="3"/>
    </row>
    <row r="768" spans="1:34" ht="31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R768" s="3"/>
      <c r="S768" s="3"/>
      <c r="W768" s="3"/>
      <c r="X768" s="451" t="s">
        <v>60</v>
      </c>
      <c r="Y768" s="452" t="s">
        <v>414</v>
      </c>
      <c r="Z768" s="453" t="s">
        <v>8</v>
      </c>
      <c r="AA768" s="453" t="s">
        <v>22</v>
      </c>
      <c r="AB768" s="542" t="s">
        <v>506</v>
      </c>
      <c r="AC768" s="454">
        <v>600</v>
      </c>
      <c r="AD768" s="672">
        <f t="shared" si="226"/>
        <v>2056</v>
      </c>
      <c r="AE768" s="634">
        <f t="shared" si="226"/>
        <v>2144</v>
      </c>
      <c r="AF768" s="645">
        <f t="shared" si="226"/>
        <v>2171</v>
      </c>
      <c r="AG768" s="3"/>
      <c r="AH768" s="3"/>
    </row>
    <row r="769" spans="1:34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R769" s="3"/>
      <c r="S769" s="3"/>
      <c r="W769" s="3"/>
      <c r="X769" s="451" t="s">
        <v>61</v>
      </c>
      <c r="Y769" s="452" t="s">
        <v>414</v>
      </c>
      <c r="Z769" s="453" t="s">
        <v>8</v>
      </c>
      <c r="AA769" s="453" t="s">
        <v>22</v>
      </c>
      <c r="AB769" s="542" t="s">
        <v>506</v>
      </c>
      <c r="AC769" s="454">
        <v>610</v>
      </c>
      <c r="AD769" s="672">
        <f>711+1345</f>
        <v>2056</v>
      </c>
      <c r="AE769" s="634">
        <f>1415+729</f>
        <v>2144</v>
      </c>
      <c r="AF769" s="645">
        <f>742+1429</f>
        <v>2171</v>
      </c>
      <c r="AG769" s="3"/>
      <c r="AH769" s="3"/>
    </row>
    <row r="770" spans="1:34" ht="31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R770" s="3"/>
      <c r="S770" s="3"/>
      <c r="W770" s="3"/>
      <c r="X770" s="451" t="s">
        <v>318</v>
      </c>
      <c r="Y770" s="452" t="s">
        <v>414</v>
      </c>
      <c r="Z770" s="453" t="s">
        <v>8</v>
      </c>
      <c r="AA770" s="453" t="s">
        <v>22</v>
      </c>
      <c r="AB770" s="542" t="s">
        <v>507</v>
      </c>
      <c r="AC770" s="454"/>
      <c r="AD770" s="672">
        <f t="shared" ref="AD770:AF771" si="227">AD771</f>
        <v>1950</v>
      </c>
      <c r="AE770" s="634">
        <f t="shared" si="227"/>
        <v>2070</v>
      </c>
      <c r="AF770" s="645">
        <f t="shared" si="227"/>
        <v>2080</v>
      </c>
      <c r="AG770" s="3"/>
      <c r="AH770" s="3"/>
    </row>
    <row r="771" spans="1:34" ht="31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R771" s="3"/>
      <c r="S771" s="3"/>
      <c r="W771" s="3"/>
      <c r="X771" s="451" t="s">
        <v>60</v>
      </c>
      <c r="Y771" s="452" t="s">
        <v>414</v>
      </c>
      <c r="Z771" s="453" t="s">
        <v>8</v>
      </c>
      <c r="AA771" s="453" t="s">
        <v>22</v>
      </c>
      <c r="AB771" s="542" t="s">
        <v>507</v>
      </c>
      <c r="AC771" s="454">
        <v>600</v>
      </c>
      <c r="AD771" s="672">
        <f t="shared" si="227"/>
        <v>1950</v>
      </c>
      <c r="AE771" s="634">
        <f t="shared" si="227"/>
        <v>2070</v>
      </c>
      <c r="AF771" s="645">
        <f>AF772</f>
        <v>2080</v>
      </c>
      <c r="AG771" s="3"/>
      <c r="AH771" s="3"/>
    </row>
    <row r="772" spans="1:34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R772" s="3"/>
      <c r="S772" s="3"/>
      <c r="W772" s="3"/>
      <c r="X772" s="451" t="s">
        <v>61</v>
      </c>
      <c r="Y772" s="452" t="s">
        <v>414</v>
      </c>
      <c r="Z772" s="453" t="s">
        <v>8</v>
      </c>
      <c r="AA772" s="453" t="s">
        <v>22</v>
      </c>
      <c r="AB772" s="542" t="s">
        <v>507</v>
      </c>
      <c r="AC772" s="454">
        <v>610</v>
      </c>
      <c r="AD772" s="672">
        <v>1950</v>
      </c>
      <c r="AE772" s="634">
        <f>850+1220</f>
        <v>2070</v>
      </c>
      <c r="AF772" s="645">
        <f>850+1230</f>
        <v>2080</v>
      </c>
      <c r="AG772" s="3"/>
      <c r="AH772" s="3"/>
    </row>
    <row r="773" spans="1:34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R773" s="3"/>
      <c r="S773" s="3"/>
      <c r="W773" s="3"/>
      <c r="X773" s="457" t="s">
        <v>233</v>
      </c>
      <c r="Y773" s="452" t="s">
        <v>414</v>
      </c>
      <c r="Z773" s="453" t="s">
        <v>8</v>
      </c>
      <c r="AA773" s="453" t="s">
        <v>22</v>
      </c>
      <c r="AB773" s="542" t="s">
        <v>234</v>
      </c>
      <c r="AC773" s="574"/>
      <c r="AD773" s="672">
        <f t="shared" ref="AD773:AF777" si="228">AD774</f>
        <v>947</v>
      </c>
      <c r="AE773" s="634">
        <f t="shared" si="228"/>
        <v>0</v>
      </c>
      <c r="AF773" s="645">
        <f t="shared" si="228"/>
        <v>0</v>
      </c>
      <c r="AG773" s="3"/>
      <c r="AH773" s="3"/>
    </row>
    <row r="774" spans="1:34" ht="31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R774" s="3"/>
      <c r="S774" s="3"/>
      <c r="W774" s="3"/>
      <c r="X774" s="457" t="s">
        <v>704</v>
      </c>
      <c r="Y774" s="452" t="s">
        <v>414</v>
      </c>
      <c r="Z774" s="453" t="s">
        <v>8</v>
      </c>
      <c r="AA774" s="453" t="s">
        <v>22</v>
      </c>
      <c r="AB774" s="542" t="s">
        <v>237</v>
      </c>
      <c r="AC774" s="574"/>
      <c r="AD774" s="672">
        <f t="shared" si="228"/>
        <v>947</v>
      </c>
      <c r="AE774" s="634">
        <f t="shared" si="228"/>
        <v>0</v>
      </c>
      <c r="AF774" s="645">
        <f t="shared" si="228"/>
        <v>0</v>
      </c>
      <c r="AG774" s="3"/>
      <c r="AH774" s="3"/>
    </row>
    <row r="775" spans="1:34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R775" s="3"/>
      <c r="S775" s="3"/>
      <c r="W775" s="3"/>
      <c r="X775" s="451" t="s">
        <v>703</v>
      </c>
      <c r="Y775" s="452" t="s">
        <v>414</v>
      </c>
      <c r="Z775" s="453" t="s">
        <v>8</v>
      </c>
      <c r="AA775" s="453" t="s">
        <v>22</v>
      </c>
      <c r="AB775" s="542" t="s">
        <v>702</v>
      </c>
      <c r="AC775" s="482"/>
      <c r="AD775" s="672">
        <f t="shared" si="228"/>
        <v>947</v>
      </c>
      <c r="AE775" s="634">
        <f t="shared" si="228"/>
        <v>0</v>
      </c>
      <c r="AF775" s="645">
        <f t="shared" si="228"/>
        <v>0</v>
      </c>
      <c r="AG775" s="3"/>
      <c r="AH775" s="3"/>
    </row>
    <row r="776" spans="1:34" ht="47.2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R776" s="3"/>
      <c r="S776" s="3"/>
      <c r="W776" s="3"/>
      <c r="X776" s="451" t="s">
        <v>700</v>
      </c>
      <c r="Y776" s="452" t="s">
        <v>414</v>
      </c>
      <c r="Z776" s="453" t="s">
        <v>8</v>
      </c>
      <c r="AA776" s="453" t="s">
        <v>22</v>
      </c>
      <c r="AB776" s="554" t="s">
        <v>701</v>
      </c>
      <c r="AC776" s="482"/>
      <c r="AD776" s="672">
        <f t="shared" si="228"/>
        <v>947</v>
      </c>
      <c r="AE776" s="634">
        <f t="shared" si="228"/>
        <v>0</v>
      </c>
      <c r="AF776" s="645">
        <f t="shared" si="228"/>
        <v>0</v>
      </c>
      <c r="AG776" s="3"/>
      <c r="AH776" s="3"/>
    </row>
    <row r="777" spans="1:3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R777" s="3"/>
      <c r="S777" s="3"/>
      <c r="W777" s="3"/>
      <c r="X777" s="451" t="s">
        <v>120</v>
      </c>
      <c r="Y777" s="452" t="s">
        <v>414</v>
      </c>
      <c r="Z777" s="453" t="s">
        <v>8</v>
      </c>
      <c r="AA777" s="453" t="s">
        <v>22</v>
      </c>
      <c r="AB777" s="554" t="s">
        <v>701</v>
      </c>
      <c r="AC777" s="482">
        <v>200</v>
      </c>
      <c r="AD777" s="672">
        <f t="shared" si="228"/>
        <v>947</v>
      </c>
      <c r="AE777" s="634">
        <f t="shared" si="228"/>
        <v>0</v>
      </c>
      <c r="AF777" s="645">
        <f t="shared" si="228"/>
        <v>0</v>
      </c>
      <c r="AG777" s="3"/>
      <c r="AH777" s="3"/>
    </row>
    <row r="778" spans="1:34" ht="31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R778" s="3"/>
      <c r="S778" s="3"/>
      <c r="W778" s="3"/>
      <c r="X778" s="451" t="s">
        <v>52</v>
      </c>
      <c r="Y778" s="452" t="s">
        <v>414</v>
      </c>
      <c r="Z778" s="453" t="s">
        <v>8</v>
      </c>
      <c r="AA778" s="453" t="s">
        <v>22</v>
      </c>
      <c r="AB778" s="554" t="s">
        <v>701</v>
      </c>
      <c r="AC778" s="482">
        <v>240</v>
      </c>
      <c r="AD778" s="672">
        <v>947</v>
      </c>
      <c r="AE778" s="634">
        <v>0</v>
      </c>
      <c r="AF778" s="645">
        <v>0</v>
      </c>
      <c r="AG778" s="3"/>
      <c r="AH778" s="3"/>
    </row>
    <row r="779" spans="1:3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R779" s="3"/>
      <c r="S779" s="3"/>
      <c r="W779" s="3"/>
      <c r="X779" s="653" t="s">
        <v>94</v>
      </c>
      <c r="Y779" s="448" t="s">
        <v>414</v>
      </c>
      <c r="Z779" s="471" t="s">
        <v>36</v>
      </c>
      <c r="AA779" s="540"/>
      <c r="AB779" s="539"/>
      <c r="AC779" s="476"/>
      <c r="AD779" s="671">
        <f>AD780+AD787</f>
        <v>15351.9</v>
      </c>
      <c r="AE779" s="633">
        <f>AE780+AE787</f>
        <v>15062</v>
      </c>
      <c r="AF779" s="644">
        <f>AF780+AF787</f>
        <v>15062</v>
      </c>
      <c r="AG779" s="3"/>
      <c r="AH779" s="3"/>
    </row>
    <row r="780" spans="1:34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R780" s="3"/>
      <c r="S780" s="3"/>
      <c r="W780" s="3"/>
      <c r="X780" s="451" t="s">
        <v>55</v>
      </c>
      <c r="Y780" s="452" t="s">
        <v>414</v>
      </c>
      <c r="Z780" s="453">
        <v>10</v>
      </c>
      <c r="AA780" s="453" t="s">
        <v>29</v>
      </c>
      <c r="AB780" s="541"/>
      <c r="AC780" s="450"/>
      <c r="AD780" s="672">
        <f t="shared" ref="AD780:AF785" si="229">AD781</f>
        <v>982</v>
      </c>
      <c r="AE780" s="634">
        <f t="shared" si="229"/>
        <v>982</v>
      </c>
      <c r="AF780" s="645">
        <f t="shared" si="229"/>
        <v>982</v>
      </c>
      <c r="AG780" s="3"/>
      <c r="AH780" s="3"/>
    </row>
    <row r="781" spans="1:34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R781" s="3"/>
      <c r="S781" s="3"/>
      <c r="W781" s="3"/>
      <c r="X781" s="457" t="s">
        <v>292</v>
      </c>
      <c r="Y781" s="452" t="s">
        <v>414</v>
      </c>
      <c r="Z781" s="453">
        <v>10</v>
      </c>
      <c r="AA781" s="453" t="s">
        <v>29</v>
      </c>
      <c r="AB781" s="542" t="s">
        <v>109</v>
      </c>
      <c r="AC781" s="450"/>
      <c r="AD781" s="672">
        <f t="shared" si="229"/>
        <v>982</v>
      </c>
      <c r="AE781" s="634">
        <f t="shared" si="229"/>
        <v>982</v>
      </c>
      <c r="AF781" s="645">
        <f t="shared" si="229"/>
        <v>982</v>
      </c>
      <c r="AG781" s="3"/>
      <c r="AH781" s="3"/>
    </row>
    <row r="782" spans="1:34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R782" s="3"/>
      <c r="S782" s="3"/>
      <c r="W782" s="3"/>
      <c r="X782" s="457" t="s">
        <v>293</v>
      </c>
      <c r="Y782" s="452" t="s">
        <v>414</v>
      </c>
      <c r="Z782" s="453">
        <v>10</v>
      </c>
      <c r="AA782" s="453" t="s">
        <v>29</v>
      </c>
      <c r="AB782" s="542" t="s">
        <v>118</v>
      </c>
      <c r="AC782" s="450"/>
      <c r="AD782" s="672">
        <f t="shared" si="229"/>
        <v>982</v>
      </c>
      <c r="AE782" s="634">
        <f t="shared" si="229"/>
        <v>982</v>
      </c>
      <c r="AF782" s="645">
        <f t="shared" si="229"/>
        <v>982</v>
      </c>
      <c r="AG782" s="3"/>
      <c r="AH782" s="3"/>
    </row>
    <row r="783" spans="1:34" ht="31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R783" s="3"/>
      <c r="S783" s="3"/>
      <c r="W783" s="3"/>
      <c r="X783" s="457" t="s">
        <v>294</v>
      </c>
      <c r="Y783" s="452" t="s">
        <v>414</v>
      </c>
      <c r="Z783" s="453">
        <v>10</v>
      </c>
      <c r="AA783" s="453" t="s">
        <v>29</v>
      </c>
      <c r="AB783" s="542" t="s">
        <v>465</v>
      </c>
      <c r="AC783" s="450"/>
      <c r="AD783" s="672">
        <f t="shared" si="229"/>
        <v>982</v>
      </c>
      <c r="AE783" s="634">
        <f t="shared" si="229"/>
        <v>982</v>
      </c>
      <c r="AF783" s="645">
        <f t="shared" si="229"/>
        <v>982</v>
      </c>
      <c r="AG783" s="3"/>
      <c r="AH783" s="3"/>
    </row>
    <row r="784" spans="1:34" ht="31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R784" s="3"/>
      <c r="S784" s="3"/>
      <c r="W784" s="3"/>
      <c r="X784" s="466" t="s">
        <v>295</v>
      </c>
      <c r="Y784" s="452" t="s">
        <v>414</v>
      </c>
      <c r="Z784" s="453">
        <v>10</v>
      </c>
      <c r="AA784" s="453" t="s">
        <v>29</v>
      </c>
      <c r="AB784" s="542" t="s">
        <v>464</v>
      </c>
      <c r="AC784" s="450"/>
      <c r="AD784" s="672">
        <f t="shared" si="229"/>
        <v>982</v>
      </c>
      <c r="AE784" s="634">
        <f t="shared" si="229"/>
        <v>982</v>
      </c>
      <c r="AF784" s="645">
        <f t="shared" si="229"/>
        <v>982</v>
      </c>
      <c r="AG784" s="3"/>
      <c r="AH784" s="3"/>
    </row>
    <row r="785" spans="1:34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W785" s="3"/>
      <c r="X785" s="451" t="s">
        <v>97</v>
      </c>
      <c r="Y785" s="452" t="s">
        <v>414</v>
      </c>
      <c r="Z785" s="453">
        <v>10</v>
      </c>
      <c r="AA785" s="453" t="s">
        <v>29</v>
      </c>
      <c r="AB785" s="542" t="s">
        <v>464</v>
      </c>
      <c r="AC785" s="454">
        <v>300</v>
      </c>
      <c r="AD785" s="672">
        <f t="shared" si="229"/>
        <v>982</v>
      </c>
      <c r="AE785" s="634">
        <f t="shared" si="229"/>
        <v>982</v>
      </c>
      <c r="AF785" s="645">
        <f t="shared" si="229"/>
        <v>982</v>
      </c>
      <c r="AG785" s="3"/>
      <c r="AH785" s="3"/>
    </row>
    <row r="786" spans="1:34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W786" s="3"/>
      <c r="X786" s="451" t="s">
        <v>40</v>
      </c>
      <c r="Y786" s="452" t="s">
        <v>414</v>
      </c>
      <c r="Z786" s="453">
        <v>10</v>
      </c>
      <c r="AA786" s="453" t="s">
        <v>29</v>
      </c>
      <c r="AB786" s="542" t="s">
        <v>464</v>
      </c>
      <c r="AC786" s="454">
        <v>320</v>
      </c>
      <c r="AD786" s="672">
        <v>982</v>
      </c>
      <c r="AE786" s="634">
        <v>982</v>
      </c>
      <c r="AF786" s="645">
        <v>982</v>
      </c>
      <c r="AG786" s="3"/>
      <c r="AH786" s="3"/>
    </row>
    <row r="787" spans="1:34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W787" s="3"/>
      <c r="X787" s="451" t="s">
        <v>31</v>
      </c>
      <c r="Y787" s="452" t="s">
        <v>414</v>
      </c>
      <c r="Z787" s="453">
        <v>10</v>
      </c>
      <c r="AA787" s="453" t="s">
        <v>49</v>
      </c>
      <c r="AB787" s="542"/>
      <c r="AC787" s="454"/>
      <c r="AD787" s="672">
        <f>AD788</f>
        <v>14369.9</v>
      </c>
      <c r="AE787" s="634">
        <f>AE788</f>
        <v>14080</v>
      </c>
      <c r="AF787" s="645">
        <f>AF788</f>
        <v>14080</v>
      </c>
      <c r="AG787" s="3"/>
      <c r="AH787" s="3"/>
    </row>
    <row r="788" spans="1:3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W788" s="3"/>
      <c r="X788" s="459" t="s">
        <v>262</v>
      </c>
      <c r="Y788" s="452" t="s">
        <v>414</v>
      </c>
      <c r="Z788" s="453">
        <v>10</v>
      </c>
      <c r="AA788" s="453" t="s">
        <v>49</v>
      </c>
      <c r="AB788" s="541" t="s">
        <v>100</v>
      </c>
      <c r="AC788" s="454"/>
      <c r="AD788" s="672">
        <f t="shared" ref="AD788:AF790" si="230">AD789</f>
        <v>14369.9</v>
      </c>
      <c r="AE788" s="634">
        <f t="shared" si="230"/>
        <v>14080</v>
      </c>
      <c r="AF788" s="645">
        <f t="shared" si="230"/>
        <v>14080</v>
      </c>
      <c r="AG788" s="3"/>
      <c r="AH788" s="3"/>
    </row>
    <row r="789" spans="1:34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W789" s="3"/>
      <c r="X789" s="459" t="s">
        <v>516</v>
      </c>
      <c r="Y789" s="452" t="s">
        <v>414</v>
      </c>
      <c r="Z789" s="453">
        <v>10</v>
      </c>
      <c r="AA789" s="453" t="s">
        <v>49</v>
      </c>
      <c r="AB789" s="541" t="s">
        <v>117</v>
      </c>
      <c r="AC789" s="454"/>
      <c r="AD789" s="672">
        <f>AD790</f>
        <v>14369.9</v>
      </c>
      <c r="AE789" s="634">
        <f>AE790</f>
        <v>14080</v>
      </c>
      <c r="AF789" s="645">
        <f>AF790</f>
        <v>14080</v>
      </c>
      <c r="AG789" s="3"/>
      <c r="AH789" s="3"/>
    </row>
    <row r="790" spans="1:34" ht="31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W790" s="3"/>
      <c r="X790" s="459" t="s">
        <v>266</v>
      </c>
      <c r="Y790" s="452" t="s">
        <v>414</v>
      </c>
      <c r="Z790" s="453">
        <v>10</v>
      </c>
      <c r="AA790" s="453" t="s">
        <v>49</v>
      </c>
      <c r="AB790" s="542" t="s">
        <v>447</v>
      </c>
      <c r="AC790" s="454"/>
      <c r="AD790" s="672">
        <f t="shared" si="230"/>
        <v>14369.9</v>
      </c>
      <c r="AE790" s="634">
        <f t="shared" si="230"/>
        <v>14080</v>
      </c>
      <c r="AF790" s="645">
        <f t="shared" si="230"/>
        <v>14080</v>
      </c>
      <c r="AG790" s="3"/>
      <c r="AH790" s="3"/>
    </row>
    <row r="791" spans="1:34" ht="47.2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W791" s="3"/>
      <c r="X791" s="662" t="s">
        <v>263</v>
      </c>
      <c r="Y791" s="452" t="s">
        <v>414</v>
      </c>
      <c r="Z791" s="453">
        <v>10</v>
      </c>
      <c r="AA791" s="453" t="s">
        <v>49</v>
      </c>
      <c r="AB791" s="542" t="s">
        <v>467</v>
      </c>
      <c r="AC791" s="454"/>
      <c r="AD791" s="672">
        <f>AD794+AD792+AD796</f>
        <v>14369.9</v>
      </c>
      <c r="AE791" s="634">
        <f>AE794+AE792+AE796</f>
        <v>14080</v>
      </c>
      <c r="AF791" s="645">
        <f>AF794+AF792+AF796</f>
        <v>14080</v>
      </c>
      <c r="AG791" s="3"/>
      <c r="AH791" s="3"/>
    </row>
    <row r="792" spans="1:34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W792" s="3"/>
      <c r="X792" s="451" t="s">
        <v>120</v>
      </c>
      <c r="Y792" s="452" t="s">
        <v>414</v>
      </c>
      <c r="Z792" s="453">
        <v>10</v>
      </c>
      <c r="AA792" s="453" t="s">
        <v>49</v>
      </c>
      <c r="AB792" s="542" t="s">
        <v>467</v>
      </c>
      <c r="AC792" s="454">
        <v>200</v>
      </c>
      <c r="AD792" s="672">
        <f>AD793</f>
        <v>139</v>
      </c>
      <c r="AE792" s="634">
        <f>AE793</f>
        <v>139</v>
      </c>
      <c r="AF792" s="645">
        <f>AF793</f>
        <v>139</v>
      </c>
      <c r="AG792" s="3"/>
      <c r="AH792" s="3"/>
    </row>
    <row r="793" spans="1:34" ht="31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W793" s="3"/>
      <c r="X793" s="451" t="s">
        <v>52</v>
      </c>
      <c r="Y793" s="452" t="s">
        <v>414</v>
      </c>
      <c r="Z793" s="453">
        <v>10</v>
      </c>
      <c r="AA793" s="453" t="s">
        <v>49</v>
      </c>
      <c r="AB793" s="542" t="s">
        <v>467</v>
      </c>
      <c r="AC793" s="454">
        <v>240</v>
      </c>
      <c r="AD793" s="672">
        <v>139</v>
      </c>
      <c r="AE793" s="634">
        <v>139</v>
      </c>
      <c r="AF793" s="645">
        <v>139</v>
      </c>
      <c r="AG793" s="3"/>
      <c r="AH793" s="3"/>
    </row>
    <row r="794" spans="1:34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W794" s="3"/>
      <c r="X794" s="451" t="s">
        <v>97</v>
      </c>
      <c r="Y794" s="452" t="s">
        <v>414</v>
      </c>
      <c r="Z794" s="453">
        <v>10</v>
      </c>
      <c r="AA794" s="453" t="s">
        <v>49</v>
      </c>
      <c r="AB794" s="542" t="s">
        <v>467</v>
      </c>
      <c r="AC794" s="454">
        <v>300</v>
      </c>
      <c r="AD794" s="672">
        <f>AD795</f>
        <v>13941</v>
      </c>
      <c r="AE794" s="634">
        <f>AE795</f>
        <v>13941</v>
      </c>
      <c r="AF794" s="645">
        <f>AF795</f>
        <v>13941</v>
      </c>
      <c r="AG794" s="3"/>
      <c r="AH794" s="3"/>
    </row>
    <row r="795" spans="1:34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W795" s="3"/>
      <c r="X795" s="451" t="s">
        <v>131</v>
      </c>
      <c r="Y795" s="452" t="s">
        <v>414</v>
      </c>
      <c r="Z795" s="453">
        <v>10</v>
      </c>
      <c r="AA795" s="453" t="s">
        <v>49</v>
      </c>
      <c r="AB795" s="542" t="s">
        <v>467</v>
      </c>
      <c r="AC795" s="454">
        <v>310</v>
      </c>
      <c r="AD795" s="672">
        <v>13941</v>
      </c>
      <c r="AE795" s="634">
        <v>13941</v>
      </c>
      <c r="AF795" s="645">
        <v>13941</v>
      </c>
      <c r="AG795" s="3"/>
      <c r="AH795" s="3"/>
    </row>
    <row r="796" spans="1:34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W796" s="3"/>
      <c r="X796" s="451" t="s">
        <v>60</v>
      </c>
      <c r="Y796" s="452" t="s">
        <v>414</v>
      </c>
      <c r="Z796" s="453">
        <v>10</v>
      </c>
      <c r="AA796" s="453" t="s">
        <v>49</v>
      </c>
      <c r="AB796" s="542" t="s">
        <v>467</v>
      </c>
      <c r="AC796" s="454">
        <v>600</v>
      </c>
      <c r="AD796" s="672">
        <f>AD797</f>
        <v>289.89999999999998</v>
      </c>
      <c r="AE796" s="634">
        <f>AE797</f>
        <v>0</v>
      </c>
      <c r="AF796" s="645">
        <f>AF797</f>
        <v>0</v>
      </c>
      <c r="AG796" s="3"/>
      <c r="AH796" s="3"/>
    </row>
    <row r="797" spans="1:34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W797" s="3"/>
      <c r="X797" s="451" t="s">
        <v>61</v>
      </c>
      <c r="Y797" s="452" t="s">
        <v>414</v>
      </c>
      <c r="Z797" s="453">
        <v>10</v>
      </c>
      <c r="AA797" s="453" t="s">
        <v>49</v>
      </c>
      <c r="AB797" s="542" t="s">
        <v>467</v>
      </c>
      <c r="AC797" s="454">
        <v>610</v>
      </c>
      <c r="AD797" s="672">
        <f>826-536.1</f>
        <v>289.89999999999998</v>
      </c>
      <c r="AE797" s="634">
        <f>826-826</f>
        <v>0</v>
      </c>
      <c r="AF797" s="645">
        <f>826-826</f>
        <v>0</v>
      </c>
      <c r="AG797" s="3"/>
      <c r="AH797" s="3"/>
    </row>
    <row r="798" spans="1:34" ht="32.2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W798" s="3"/>
      <c r="X798" s="653" t="s">
        <v>415</v>
      </c>
      <c r="Y798" s="448" t="s">
        <v>416</v>
      </c>
      <c r="Z798" s="487"/>
      <c r="AA798" s="487"/>
      <c r="AB798" s="547"/>
      <c r="AC798" s="483"/>
      <c r="AD798" s="671">
        <f>AD806+AD834+AD973+AD962+AD998+AD799</f>
        <v>2432095.7000000002</v>
      </c>
      <c r="AE798" s="633">
        <f>AE806+AE834+AE973+AE962+AE998+AE799</f>
        <v>843422.99999999988</v>
      </c>
      <c r="AF798" s="644">
        <f>AF806+AF834+AF973+AF962+AF998+AF799</f>
        <v>754263.9</v>
      </c>
      <c r="AG798" s="3"/>
      <c r="AH798" s="3"/>
    </row>
    <row r="799" spans="1:34" ht="18.7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W799" s="3"/>
      <c r="X799" s="653" t="s">
        <v>25</v>
      </c>
      <c r="Y799" s="448" t="s">
        <v>416</v>
      </c>
      <c r="Z799" s="449" t="s">
        <v>29</v>
      </c>
      <c r="AA799" s="487"/>
      <c r="AB799" s="547"/>
      <c r="AC799" s="483"/>
      <c r="AD799" s="672">
        <f t="shared" ref="AD799:AD804" si="231">AD800</f>
        <v>200</v>
      </c>
      <c r="AE799" s="634">
        <f t="shared" ref="AE799:AF799" si="232">AE800</f>
        <v>200</v>
      </c>
      <c r="AF799" s="645">
        <f t="shared" si="232"/>
        <v>200</v>
      </c>
      <c r="AG799" s="3"/>
      <c r="AH799" s="3"/>
    </row>
    <row r="800" spans="1:34" ht="18.7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W800" s="3"/>
      <c r="X800" s="457" t="s">
        <v>186</v>
      </c>
      <c r="Y800" s="452" t="s">
        <v>416</v>
      </c>
      <c r="Z800" s="453" t="s">
        <v>29</v>
      </c>
      <c r="AA800" s="453">
        <v>13</v>
      </c>
      <c r="AB800" s="542" t="s">
        <v>112</v>
      </c>
      <c r="AC800" s="483"/>
      <c r="AD800" s="672">
        <f t="shared" si="231"/>
        <v>200</v>
      </c>
      <c r="AE800" s="634">
        <f t="shared" ref="AE800:AF800" si="233">AE801</f>
        <v>200</v>
      </c>
      <c r="AF800" s="645">
        <f t="shared" si="233"/>
        <v>200</v>
      </c>
      <c r="AG800" s="3"/>
      <c r="AH800" s="3"/>
    </row>
    <row r="801" spans="1:34" ht="18.7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W801" s="3"/>
      <c r="X801" s="659" t="s">
        <v>530</v>
      </c>
      <c r="Y801" s="452" t="s">
        <v>416</v>
      </c>
      <c r="Z801" s="453" t="s">
        <v>29</v>
      </c>
      <c r="AA801" s="453">
        <v>13</v>
      </c>
      <c r="AB801" s="542" t="s">
        <v>113</v>
      </c>
      <c r="AC801" s="483"/>
      <c r="AD801" s="672">
        <f t="shared" si="231"/>
        <v>200</v>
      </c>
      <c r="AE801" s="634">
        <f t="shared" ref="AE801:AF801" si="234">AE802</f>
        <v>200</v>
      </c>
      <c r="AF801" s="645">
        <f t="shared" si="234"/>
        <v>200</v>
      </c>
      <c r="AG801" s="3"/>
      <c r="AH801" s="3"/>
    </row>
    <row r="802" spans="1:34" ht="32.2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W802" s="3"/>
      <c r="X802" s="466" t="s">
        <v>182</v>
      </c>
      <c r="Y802" s="452" t="s">
        <v>416</v>
      </c>
      <c r="Z802" s="453" t="s">
        <v>29</v>
      </c>
      <c r="AA802" s="453">
        <v>13</v>
      </c>
      <c r="AB802" s="542" t="s">
        <v>183</v>
      </c>
      <c r="AC802" s="483"/>
      <c r="AD802" s="672">
        <f t="shared" si="231"/>
        <v>200</v>
      </c>
      <c r="AE802" s="634">
        <f t="shared" ref="AE802:AF802" si="235">AE803</f>
        <v>200</v>
      </c>
      <c r="AF802" s="645">
        <f t="shared" si="235"/>
        <v>200</v>
      </c>
      <c r="AG802" s="3"/>
      <c r="AH802" s="3"/>
    </row>
    <row r="803" spans="1:34" ht="32.2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W803" s="3"/>
      <c r="X803" s="465" t="s">
        <v>774</v>
      </c>
      <c r="Y803" s="452" t="s">
        <v>416</v>
      </c>
      <c r="Z803" s="453" t="s">
        <v>29</v>
      </c>
      <c r="AA803" s="453">
        <v>13</v>
      </c>
      <c r="AB803" s="542" t="s">
        <v>185</v>
      </c>
      <c r="AC803" s="483"/>
      <c r="AD803" s="672">
        <f t="shared" si="231"/>
        <v>200</v>
      </c>
      <c r="AE803" s="634">
        <f t="shared" ref="AE803:AF803" si="236">AE804</f>
        <v>200</v>
      </c>
      <c r="AF803" s="645">
        <f t="shared" si="236"/>
        <v>200</v>
      </c>
      <c r="AG803" s="3"/>
      <c r="AH803" s="3"/>
    </row>
    <row r="804" spans="1:34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W804" s="3"/>
      <c r="X804" s="451" t="s">
        <v>120</v>
      </c>
      <c r="Y804" s="452" t="s">
        <v>416</v>
      </c>
      <c r="Z804" s="453" t="s">
        <v>29</v>
      </c>
      <c r="AA804" s="453">
        <v>13</v>
      </c>
      <c r="AB804" s="542" t="s">
        <v>185</v>
      </c>
      <c r="AC804" s="454">
        <v>200</v>
      </c>
      <c r="AD804" s="672">
        <f t="shared" si="231"/>
        <v>200</v>
      </c>
      <c r="AE804" s="634">
        <f t="shared" ref="AE804:AF804" si="237">AE805</f>
        <v>200</v>
      </c>
      <c r="AF804" s="645">
        <f t="shared" si="237"/>
        <v>200</v>
      </c>
      <c r="AG804" s="3"/>
      <c r="AH804" s="3"/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W805" s="3"/>
      <c r="X805" s="451" t="s">
        <v>52</v>
      </c>
      <c r="Y805" s="452" t="s">
        <v>416</v>
      </c>
      <c r="Z805" s="453" t="s">
        <v>29</v>
      </c>
      <c r="AA805" s="453">
        <v>13</v>
      </c>
      <c r="AB805" s="542" t="s">
        <v>185</v>
      </c>
      <c r="AC805" s="454">
        <v>240</v>
      </c>
      <c r="AD805" s="672">
        <v>200</v>
      </c>
      <c r="AE805" s="634">
        <v>200</v>
      </c>
      <c r="AF805" s="645">
        <v>200</v>
      </c>
      <c r="AG805" s="3"/>
      <c r="AH805" s="3"/>
    </row>
    <row r="806" spans="1:34" ht="18.7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W806" s="3"/>
      <c r="X806" s="653" t="s">
        <v>45</v>
      </c>
      <c r="Y806" s="448" t="s">
        <v>416</v>
      </c>
      <c r="Z806" s="471" t="s">
        <v>49</v>
      </c>
      <c r="AA806" s="552"/>
      <c r="AB806" s="553"/>
      <c r="AC806" s="484"/>
      <c r="AD806" s="671">
        <f>AD807+AD816</f>
        <v>53096</v>
      </c>
      <c r="AE806" s="633">
        <f>AE807+AE816</f>
        <v>64154</v>
      </c>
      <c r="AF806" s="644">
        <f>AF807+AF816</f>
        <v>67016</v>
      </c>
      <c r="AG806" s="3"/>
      <c r="AH806" s="3"/>
    </row>
    <row r="807" spans="1:34" ht="18.7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W807" s="3"/>
      <c r="X807" s="451" t="s">
        <v>15</v>
      </c>
      <c r="Y807" s="452" t="s">
        <v>416</v>
      </c>
      <c r="Z807" s="474" t="s">
        <v>49</v>
      </c>
      <c r="AA807" s="453" t="s">
        <v>5</v>
      </c>
      <c r="AB807" s="553"/>
      <c r="AC807" s="484"/>
      <c r="AD807" s="672">
        <f t="shared" ref="AD807:AF814" si="238">AD808</f>
        <v>919</v>
      </c>
      <c r="AE807" s="634">
        <f t="shared" si="238"/>
        <v>919</v>
      </c>
      <c r="AF807" s="645">
        <f t="shared" si="238"/>
        <v>919</v>
      </c>
      <c r="AG807" s="3"/>
      <c r="AH807" s="3"/>
    </row>
    <row r="808" spans="1:34" ht="18.7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W808" s="3"/>
      <c r="X808" s="459" t="s">
        <v>238</v>
      </c>
      <c r="Y808" s="452" t="s">
        <v>416</v>
      </c>
      <c r="Z808" s="474" t="s">
        <v>49</v>
      </c>
      <c r="AA808" s="453" t="s">
        <v>5</v>
      </c>
      <c r="AB808" s="542" t="s">
        <v>138</v>
      </c>
      <c r="AC808" s="484"/>
      <c r="AD808" s="672">
        <f t="shared" si="238"/>
        <v>919</v>
      </c>
      <c r="AE808" s="634">
        <f t="shared" si="238"/>
        <v>919</v>
      </c>
      <c r="AF808" s="645">
        <f t="shared" si="238"/>
        <v>919</v>
      </c>
      <c r="AG808" s="3"/>
      <c r="AH808" s="3"/>
    </row>
    <row r="809" spans="1:34" ht="31.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W809" s="3"/>
      <c r="X809" s="656" t="s">
        <v>525</v>
      </c>
      <c r="Y809" s="452" t="s">
        <v>416</v>
      </c>
      <c r="Z809" s="474" t="s">
        <v>49</v>
      </c>
      <c r="AA809" s="453" t="s">
        <v>5</v>
      </c>
      <c r="AB809" s="542" t="s">
        <v>239</v>
      </c>
      <c r="AC809" s="484"/>
      <c r="AD809" s="672">
        <f t="shared" si="238"/>
        <v>919</v>
      </c>
      <c r="AE809" s="634">
        <f t="shared" si="238"/>
        <v>919</v>
      </c>
      <c r="AF809" s="645">
        <f t="shared" si="238"/>
        <v>919</v>
      </c>
      <c r="AG809" s="3"/>
      <c r="AH809" s="3"/>
    </row>
    <row r="810" spans="1:34" ht="18.7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W810" s="3"/>
      <c r="X810" s="459" t="s">
        <v>526</v>
      </c>
      <c r="Y810" s="452" t="s">
        <v>416</v>
      </c>
      <c r="Z810" s="474" t="s">
        <v>49</v>
      </c>
      <c r="AA810" s="453" t="s">
        <v>5</v>
      </c>
      <c r="AB810" s="542" t="s">
        <v>240</v>
      </c>
      <c r="AC810" s="484"/>
      <c r="AD810" s="672">
        <f t="shared" si="238"/>
        <v>919</v>
      </c>
      <c r="AE810" s="634">
        <f t="shared" si="238"/>
        <v>919</v>
      </c>
      <c r="AF810" s="645">
        <f t="shared" si="238"/>
        <v>919</v>
      </c>
      <c r="AG810" s="3"/>
      <c r="AH810" s="3"/>
    </row>
    <row r="811" spans="1:34" ht="31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W811" s="3"/>
      <c r="X811" s="459" t="s">
        <v>422</v>
      </c>
      <c r="Y811" s="452" t="s">
        <v>416</v>
      </c>
      <c r="Z811" s="474" t="s">
        <v>49</v>
      </c>
      <c r="AA811" s="453" t="s">
        <v>5</v>
      </c>
      <c r="AB811" s="542" t="s">
        <v>241</v>
      </c>
      <c r="AC811" s="454"/>
      <c r="AD811" s="672">
        <f>AD814+AD812</f>
        <v>919</v>
      </c>
      <c r="AE811" s="634">
        <f>AE814</f>
        <v>919</v>
      </c>
      <c r="AF811" s="645">
        <f>AF814</f>
        <v>919</v>
      </c>
      <c r="AG811" s="3"/>
      <c r="AH811" s="3"/>
    </row>
    <row r="812" spans="1:34" ht="47.2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W812" s="3"/>
      <c r="X812" s="451" t="s">
        <v>41</v>
      </c>
      <c r="Y812" s="452" t="s">
        <v>416</v>
      </c>
      <c r="Z812" s="474" t="s">
        <v>49</v>
      </c>
      <c r="AA812" s="453" t="s">
        <v>5</v>
      </c>
      <c r="AB812" s="542" t="s">
        <v>241</v>
      </c>
      <c r="AC812" s="454">
        <v>100</v>
      </c>
      <c r="AD812" s="672">
        <f>AD813</f>
        <v>307</v>
      </c>
      <c r="AE812" s="672">
        <f t="shared" ref="AE812:AF812" si="239">AE813</f>
        <v>0</v>
      </c>
      <c r="AF812" s="672">
        <f t="shared" si="239"/>
        <v>0</v>
      </c>
      <c r="AG812" s="3"/>
      <c r="AH812" s="3"/>
    </row>
    <row r="813" spans="1:34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W813" s="3"/>
      <c r="X813" s="451" t="s">
        <v>96</v>
      </c>
      <c r="Y813" s="452" t="s">
        <v>416</v>
      </c>
      <c r="Z813" s="474" t="s">
        <v>49</v>
      </c>
      <c r="AA813" s="453" t="s">
        <v>5</v>
      </c>
      <c r="AB813" s="542" t="s">
        <v>241</v>
      </c>
      <c r="AC813" s="454">
        <v>120</v>
      </c>
      <c r="AD813" s="672">
        <v>307</v>
      </c>
      <c r="AE813" s="634">
        <v>0</v>
      </c>
      <c r="AF813" s="645">
        <v>0</v>
      </c>
      <c r="AG813" s="3"/>
      <c r="AH813" s="3"/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W814" s="3"/>
      <c r="X814" s="451" t="s">
        <v>120</v>
      </c>
      <c r="Y814" s="452" t="s">
        <v>416</v>
      </c>
      <c r="Z814" s="474" t="s">
        <v>49</v>
      </c>
      <c r="AA814" s="453" t="s">
        <v>5</v>
      </c>
      <c r="AB814" s="542" t="s">
        <v>241</v>
      </c>
      <c r="AC814" s="482">
        <v>200</v>
      </c>
      <c r="AD814" s="672">
        <f t="shared" si="238"/>
        <v>612</v>
      </c>
      <c r="AE814" s="634">
        <f t="shared" si="238"/>
        <v>919</v>
      </c>
      <c r="AF814" s="645">
        <f t="shared" si="238"/>
        <v>919</v>
      </c>
      <c r="AG814" s="3"/>
      <c r="AH814" s="3"/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W815" s="3"/>
      <c r="X815" s="451" t="s">
        <v>52</v>
      </c>
      <c r="Y815" s="452" t="s">
        <v>416</v>
      </c>
      <c r="Z815" s="474" t="s">
        <v>49</v>
      </c>
      <c r="AA815" s="453" t="s">
        <v>5</v>
      </c>
      <c r="AB815" s="542" t="s">
        <v>241</v>
      </c>
      <c r="AC815" s="454">
        <v>240</v>
      </c>
      <c r="AD815" s="672">
        <f>919-307</f>
        <v>612</v>
      </c>
      <c r="AE815" s="634">
        <v>919</v>
      </c>
      <c r="AF815" s="645">
        <v>919</v>
      </c>
      <c r="AG815" s="3"/>
      <c r="AH815" s="3"/>
    </row>
    <row r="816" spans="1:34" ht="18.7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W816" s="3"/>
      <c r="X816" s="451" t="s">
        <v>93</v>
      </c>
      <c r="Y816" s="452" t="s">
        <v>416</v>
      </c>
      <c r="Z816" s="453" t="s">
        <v>49</v>
      </c>
      <c r="AA816" s="453" t="s">
        <v>22</v>
      </c>
      <c r="AB816" s="547"/>
      <c r="AC816" s="483"/>
      <c r="AD816" s="672">
        <f>AD817+AD828</f>
        <v>52177</v>
      </c>
      <c r="AE816" s="634">
        <f>AE817+AE828</f>
        <v>63235</v>
      </c>
      <c r="AF816" s="645">
        <f>AF817+AF828</f>
        <v>66097</v>
      </c>
      <c r="AG816" s="3"/>
      <c r="AH816" s="3"/>
    </row>
    <row r="817" spans="1:34" ht="31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R817" s="3"/>
      <c r="S817" s="3"/>
      <c r="W817" s="3"/>
      <c r="X817" s="457" t="s">
        <v>226</v>
      </c>
      <c r="Y817" s="452" t="s">
        <v>416</v>
      </c>
      <c r="Z817" s="453" t="s">
        <v>49</v>
      </c>
      <c r="AA817" s="453" t="s">
        <v>22</v>
      </c>
      <c r="AB817" s="542" t="s">
        <v>227</v>
      </c>
      <c r="AC817" s="454"/>
      <c r="AD817" s="672">
        <f>AD818+AD823</f>
        <v>44889</v>
      </c>
      <c r="AE817" s="634">
        <f>AE818+AE823</f>
        <v>55655</v>
      </c>
      <c r="AF817" s="645">
        <f>AF818+AF823</f>
        <v>58214</v>
      </c>
      <c r="AG817" s="3"/>
      <c r="AH817" s="3"/>
    </row>
    <row r="818" spans="1:34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R818" s="3"/>
      <c r="S818" s="3"/>
      <c r="W818" s="3"/>
      <c r="X818" s="457" t="s">
        <v>231</v>
      </c>
      <c r="Y818" s="452" t="s">
        <v>416</v>
      </c>
      <c r="Z818" s="453" t="s">
        <v>49</v>
      </c>
      <c r="AA818" s="453" t="s">
        <v>22</v>
      </c>
      <c r="AB818" s="542" t="s">
        <v>232</v>
      </c>
      <c r="AC818" s="454"/>
      <c r="AD818" s="672">
        <f>AD819</f>
        <v>24903</v>
      </c>
      <c r="AE818" s="634">
        <f t="shared" ref="AE818:AF818" si="240">AE819</f>
        <v>39565</v>
      </c>
      <c r="AF818" s="645">
        <f t="shared" si="240"/>
        <v>41464</v>
      </c>
      <c r="AG818" s="3"/>
      <c r="AH818" s="3"/>
    </row>
    <row r="819" spans="1:34" ht="31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R819" s="3"/>
      <c r="S819" s="3"/>
      <c r="W819" s="3"/>
      <c r="X819" s="451" t="s">
        <v>715</v>
      </c>
      <c r="Y819" s="452" t="s">
        <v>416</v>
      </c>
      <c r="Z819" s="453" t="s">
        <v>49</v>
      </c>
      <c r="AA819" s="453" t="s">
        <v>22</v>
      </c>
      <c r="AB819" s="542" t="s">
        <v>502</v>
      </c>
      <c r="AC819" s="454"/>
      <c r="AD819" s="672">
        <f>AD820</f>
        <v>24903</v>
      </c>
      <c r="AE819" s="634">
        <f t="shared" ref="AE819:AF821" si="241">AE820</f>
        <v>39565</v>
      </c>
      <c r="AF819" s="645">
        <f t="shared" si="241"/>
        <v>41464</v>
      </c>
      <c r="AG819" s="3"/>
      <c r="AH819" s="3"/>
    </row>
    <row r="820" spans="1:34" ht="31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R820" s="3"/>
      <c r="S820" s="3"/>
      <c r="W820" s="3"/>
      <c r="X820" s="451" t="s">
        <v>681</v>
      </c>
      <c r="Y820" s="452" t="s">
        <v>416</v>
      </c>
      <c r="Z820" s="453" t="s">
        <v>49</v>
      </c>
      <c r="AA820" s="453" t="s">
        <v>22</v>
      </c>
      <c r="AB820" s="542" t="s">
        <v>714</v>
      </c>
      <c r="AC820" s="454"/>
      <c r="AD820" s="672">
        <f>AD821</f>
        <v>24903</v>
      </c>
      <c r="AE820" s="634">
        <f t="shared" si="241"/>
        <v>39565</v>
      </c>
      <c r="AF820" s="645">
        <f t="shared" si="241"/>
        <v>41464</v>
      </c>
      <c r="AG820" s="3"/>
      <c r="AH820" s="3"/>
    </row>
    <row r="821" spans="1:34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R821" s="3"/>
      <c r="S821" s="3"/>
      <c r="W821" s="3"/>
      <c r="X821" s="451" t="s">
        <v>120</v>
      </c>
      <c r="Y821" s="452" t="s">
        <v>416</v>
      </c>
      <c r="Z821" s="472" t="s">
        <v>49</v>
      </c>
      <c r="AA821" s="472" t="s">
        <v>22</v>
      </c>
      <c r="AB821" s="542" t="s">
        <v>714</v>
      </c>
      <c r="AC821" s="454">
        <v>200</v>
      </c>
      <c r="AD821" s="672">
        <f>AD822</f>
        <v>24903</v>
      </c>
      <c r="AE821" s="634">
        <f t="shared" si="241"/>
        <v>39565</v>
      </c>
      <c r="AF821" s="645">
        <f t="shared" si="241"/>
        <v>41464</v>
      </c>
      <c r="AG821" s="3"/>
      <c r="AH821" s="3"/>
    </row>
    <row r="822" spans="1:34" ht="31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R822" s="3"/>
      <c r="S822" s="3"/>
      <c r="W822" s="3"/>
      <c r="X822" s="451" t="s">
        <v>52</v>
      </c>
      <c r="Y822" s="452" t="s">
        <v>416</v>
      </c>
      <c r="Z822" s="472" t="s">
        <v>49</v>
      </c>
      <c r="AA822" s="472" t="s">
        <v>22</v>
      </c>
      <c r="AB822" s="542" t="s">
        <v>714</v>
      </c>
      <c r="AC822" s="454">
        <v>240</v>
      </c>
      <c r="AD822" s="672">
        <f>24903+6000-6000</f>
        <v>24903</v>
      </c>
      <c r="AE822" s="634">
        <f>26223+13342</f>
        <v>39565</v>
      </c>
      <c r="AF822" s="645">
        <f>27377+14087</f>
        <v>41464</v>
      </c>
      <c r="AG822" s="3"/>
      <c r="AH822" s="3"/>
    </row>
    <row r="823" spans="1:34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R823" s="3"/>
      <c r="S823" s="3"/>
      <c r="W823" s="3"/>
      <c r="X823" s="465" t="s">
        <v>710</v>
      </c>
      <c r="Y823" s="452" t="s">
        <v>416</v>
      </c>
      <c r="Z823" s="472" t="s">
        <v>49</v>
      </c>
      <c r="AA823" s="472" t="s">
        <v>22</v>
      </c>
      <c r="AB823" s="542" t="s">
        <v>709</v>
      </c>
      <c r="AC823" s="454"/>
      <c r="AD823" s="672">
        <f t="shared" ref="AD823:AF825" si="242">AD824</f>
        <v>19986</v>
      </c>
      <c r="AE823" s="634">
        <f t="shared" si="242"/>
        <v>16090</v>
      </c>
      <c r="AF823" s="645">
        <f t="shared" si="242"/>
        <v>16750</v>
      </c>
      <c r="AG823" s="3"/>
      <c r="AH823" s="3"/>
    </row>
    <row r="824" spans="1:3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R824" s="3"/>
      <c r="S824" s="3"/>
      <c r="W824" s="3"/>
      <c r="X824" s="451" t="s">
        <v>711</v>
      </c>
      <c r="Y824" s="452" t="s">
        <v>416</v>
      </c>
      <c r="Z824" s="472" t="s">
        <v>49</v>
      </c>
      <c r="AA824" s="472" t="s">
        <v>22</v>
      </c>
      <c r="AB824" s="542" t="s">
        <v>712</v>
      </c>
      <c r="AC824" s="454"/>
      <c r="AD824" s="672">
        <f t="shared" si="242"/>
        <v>19986</v>
      </c>
      <c r="AE824" s="634">
        <f t="shared" si="242"/>
        <v>16090</v>
      </c>
      <c r="AF824" s="645">
        <f t="shared" si="242"/>
        <v>16750</v>
      </c>
      <c r="AG824" s="3"/>
      <c r="AH824" s="3"/>
    </row>
    <row r="825" spans="1:3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R825" s="3"/>
      <c r="S825" s="3"/>
      <c r="W825" s="3"/>
      <c r="X825" s="451" t="s">
        <v>344</v>
      </c>
      <c r="Y825" s="452" t="s">
        <v>416</v>
      </c>
      <c r="Z825" s="472" t="s">
        <v>49</v>
      </c>
      <c r="AA825" s="472" t="s">
        <v>22</v>
      </c>
      <c r="AB825" s="542" t="s">
        <v>713</v>
      </c>
      <c r="AC825" s="454"/>
      <c r="AD825" s="672">
        <f>AD826</f>
        <v>19986</v>
      </c>
      <c r="AE825" s="634">
        <f t="shared" si="242"/>
        <v>16090</v>
      </c>
      <c r="AF825" s="645">
        <f t="shared" si="242"/>
        <v>16750</v>
      </c>
      <c r="AG825" s="3"/>
      <c r="AH825" s="3"/>
    </row>
    <row r="826" spans="1:34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R826" s="3"/>
      <c r="S826" s="3"/>
      <c r="W826" s="3"/>
      <c r="X826" s="451" t="s">
        <v>120</v>
      </c>
      <c r="Y826" s="452" t="s">
        <v>416</v>
      </c>
      <c r="Z826" s="472" t="s">
        <v>49</v>
      </c>
      <c r="AA826" s="472" t="s">
        <v>22</v>
      </c>
      <c r="AB826" s="542" t="s">
        <v>713</v>
      </c>
      <c r="AC826" s="454">
        <v>200</v>
      </c>
      <c r="AD826" s="672">
        <f t="shared" ref="AD826:AF826" si="243">AD827</f>
        <v>19986</v>
      </c>
      <c r="AE826" s="634">
        <f t="shared" si="243"/>
        <v>16090</v>
      </c>
      <c r="AF826" s="645">
        <f t="shared" si="243"/>
        <v>16750</v>
      </c>
      <c r="AG826" s="3"/>
      <c r="AH826" s="3"/>
    </row>
    <row r="827" spans="1:34" ht="31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R827" s="3"/>
      <c r="S827" s="3"/>
      <c r="W827" s="3"/>
      <c r="X827" s="451" t="s">
        <v>52</v>
      </c>
      <c r="Y827" s="452" t="s">
        <v>416</v>
      </c>
      <c r="Z827" s="472" t="s">
        <v>49</v>
      </c>
      <c r="AA827" s="472" t="s">
        <v>22</v>
      </c>
      <c r="AB827" s="542" t="s">
        <v>713</v>
      </c>
      <c r="AC827" s="454">
        <v>240</v>
      </c>
      <c r="AD827" s="672">
        <f>15486-6000+3300+3000+4200</f>
        <v>19986</v>
      </c>
      <c r="AE827" s="634">
        <v>16090</v>
      </c>
      <c r="AF827" s="645">
        <v>16750</v>
      </c>
      <c r="AG827" s="3"/>
      <c r="AH827" s="3"/>
    </row>
    <row r="828" spans="1:34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R828" s="3"/>
      <c r="S828" s="3"/>
      <c r="W828" s="3"/>
      <c r="X828" s="457" t="s">
        <v>242</v>
      </c>
      <c r="Y828" s="452" t="s">
        <v>416</v>
      </c>
      <c r="Z828" s="472" t="s">
        <v>49</v>
      </c>
      <c r="AA828" s="472" t="s">
        <v>22</v>
      </c>
      <c r="AB828" s="542" t="s">
        <v>243</v>
      </c>
      <c r="AC828" s="454"/>
      <c r="AD828" s="672">
        <f>AD829</f>
        <v>7288</v>
      </c>
      <c r="AE828" s="634">
        <f>AE829</f>
        <v>7580</v>
      </c>
      <c r="AF828" s="645">
        <f>AF829</f>
        <v>7883</v>
      </c>
      <c r="AG828" s="3"/>
      <c r="AH828" s="3"/>
    </row>
    <row r="829" spans="1:34" ht="31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R829" s="3"/>
      <c r="S829" s="3"/>
      <c r="W829" s="3"/>
      <c r="X829" s="659" t="s">
        <v>540</v>
      </c>
      <c r="Y829" s="452" t="s">
        <v>416</v>
      </c>
      <c r="Z829" s="472" t="s">
        <v>49</v>
      </c>
      <c r="AA829" s="472" t="s">
        <v>22</v>
      </c>
      <c r="AB829" s="542" t="s">
        <v>244</v>
      </c>
      <c r="AC829" s="473"/>
      <c r="AD829" s="672">
        <f>AD830</f>
        <v>7288</v>
      </c>
      <c r="AE829" s="634">
        <f t="shared" ref="AE829:AF830" si="244">AE830</f>
        <v>7580</v>
      </c>
      <c r="AF829" s="645">
        <f t="shared" si="244"/>
        <v>7883</v>
      </c>
      <c r="AG829" s="3"/>
      <c r="AH829" s="3"/>
    </row>
    <row r="830" spans="1:34" ht="31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R830" s="3"/>
      <c r="S830" s="3"/>
      <c r="W830" s="3"/>
      <c r="X830" s="466" t="s">
        <v>541</v>
      </c>
      <c r="Y830" s="452" t="s">
        <v>416</v>
      </c>
      <c r="Z830" s="472" t="s">
        <v>49</v>
      </c>
      <c r="AA830" s="472" t="s">
        <v>22</v>
      </c>
      <c r="AB830" s="542" t="s">
        <v>245</v>
      </c>
      <c r="AC830" s="454"/>
      <c r="AD830" s="672">
        <f>AD831</f>
        <v>7288</v>
      </c>
      <c r="AE830" s="634">
        <f t="shared" si="244"/>
        <v>7580</v>
      </c>
      <c r="AF830" s="645">
        <f t="shared" si="244"/>
        <v>7883</v>
      </c>
      <c r="AG830" s="3"/>
      <c r="AH830" s="3"/>
    </row>
    <row r="831" spans="1:34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R831" s="3"/>
      <c r="S831" s="3"/>
      <c r="W831" s="3"/>
      <c r="X831" s="451" t="s">
        <v>441</v>
      </c>
      <c r="Y831" s="452" t="s">
        <v>416</v>
      </c>
      <c r="Z831" s="472" t="s">
        <v>49</v>
      </c>
      <c r="AA831" s="472" t="s">
        <v>22</v>
      </c>
      <c r="AB831" s="542" t="s">
        <v>708</v>
      </c>
      <c r="AC831" s="473"/>
      <c r="AD831" s="672">
        <f t="shared" ref="AD831:AF832" si="245">AD832</f>
        <v>7288</v>
      </c>
      <c r="AE831" s="634">
        <f t="shared" si="245"/>
        <v>7580</v>
      </c>
      <c r="AF831" s="645">
        <f t="shared" si="245"/>
        <v>7883</v>
      </c>
      <c r="AG831" s="3"/>
      <c r="AH831" s="3"/>
    </row>
    <row r="832" spans="1:34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R832" s="3"/>
      <c r="S832" s="3"/>
      <c r="W832" s="3"/>
      <c r="X832" s="451" t="s">
        <v>120</v>
      </c>
      <c r="Y832" s="452" t="s">
        <v>416</v>
      </c>
      <c r="Z832" s="472" t="s">
        <v>49</v>
      </c>
      <c r="AA832" s="472" t="s">
        <v>22</v>
      </c>
      <c r="AB832" s="542" t="s">
        <v>708</v>
      </c>
      <c r="AC832" s="473" t="s">
        <v>37</v>
      </c>
      <c r="AD832" s="672">
        <f t="shared" si="245"/>
        <v>7288</v>
      </c>
      <c r="AE832" s="634">
        <f t="shared" si="245"/>
        <v>7580</v>
      </c>
      <c r="AF832" s="645">
        <f t="shared" si="245"/>
        <v>7883</v>
      </c>
      <c r="AG832" s="3"/>
      <c r="AH832" s="3"/>
    </row>
    <row r="833" spans="1:34" ht="31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R833" s="3"/>
      <c r="S833" s="3"/>
      <c r="W833" s="3"/>
      <c r="X833" s="451" t="s">
        <v>52</v>
      </c>
      <c r="Y833" s="452" t="s">
        <v>416</v>
      </c>
      <c r="Z833" s="472" t="s">
        <v>49</v>
      </c>
      <c r="AA833" s="472" t="s">
        <v>22</v>
      </c>
      <c r="AB833" s="542" t="s">
        <v>708</v>
      </c>
      <c r="AC833" s="473" t="s">
        <v>65</v>
      </c>
      <c r="AD833" s="672">
        <v>7288</v>
      </c>
      <c r="AE833" s="634">
        <v>7580</v>
      </c>
      <c r="AF833" s="645">
        <v>7883</v>
      </c>
      <c r="AG833" s="3"/>
      <c r="AH833" s="3"/>
    </row>
    <row r="834" spans="1:3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R834" s="3"/>
      <c r="S834" s="3"/>
      <c r="W834" s="3"/>
      <c r="X834" s="653" t="s">
        <v>3</v>
      </c>
      <c r="Y834" s="448" t="s">
        <v>416</v>
      </c>
      <c r="Z834" s="471" t="s">
        <v>5</v>
      </c>
      <c r="AA834" s="471"/>
      <c r="AB834" s="539"/>
      <c r="AC834" s="476"/>
      <c r="AD834" s="671">
        <f>AD883+AD933+AD841+AD835</f>
        <v>1531113.9000000001</v>
      </c>
      <c r="AE834" s="633">
        <f>AE883+AE933+AE841+AE835</f>
        <v>745317.09999999986</v>
      </c>
      <c r="AF834" s="644">
        <f>AF883+AF933+AF841+AF835</f>
        <v>655895.9</v>
      </c>
      <c r="AG834" s="3"/>
      <c r="AH834" s="3"/>
    </row>
    <row r="835" spans="1:34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R835" s="3"/>
      <c r="S835" s="3"/>
      <c r="W835" s="3"/>
      <c r="X835" s="273" t="s">
        <v>641</v>
      </c>
      <c r="Y835" s="452" t="s">
        <v>416</v>
      </c>
      <c r="Z835" s="453" t="s">
        <v>5</v>
      </c>
      <c r="AA835" s="453" t="s">
        <v>29</v>
      </c>
      <c r="AB835" s="542" t="s">
        <v>631</v>
      </c>
      <c r="AC835" s="473"/>
      <c r="AD835" s="672">
        <f>AD836</f>
        <v>790</v>
      </c>
      <c r="AE835" s="634">
        <f t="shared" ref="AE835:AF838" si="246">AE836</f>
        <v>0</v>
      </c>
      <c r="AF835" s="645">
        <f t="shared" si="246"/>
        <v>0</v>
      </c>
      <c r="AG835" s="3"/>
      <c r="AH835" s="3"/>
    </row>
    <row r="836" spans="1:34" ht="31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R836" s="3"/>
      <c r="S836" s="3"/>
      <c r="W836" s="3"/>
      <c r="X836" s="273" t="s">
        <v>730</v>
      </c>
      <c r="Y836" s="452" t="s">
        <v>416</v>
      </c>
      <c r="Z836" s="453" t="s">
        <v>5</v>
      </c>
      <c r="AA836" s="453" t="s">
        <v>29</v>
      </c>
      <c r="AB836" s="409" t="s">
        <v>731</v>
      </c>
      <c r="AC836" s="185"/>
      <c r="AD836" s="672">
        <f>AD837</f>
        <v>790</v>
      </c>
      <c r="AE836" s="634">
        <f t="shared" si="246"/>
        <v>0</v>
      </c>
      <c r="AF836" s="645">
        <f t="shared" si="246"/>
        <v>0</v>
      </c>
      <c r="AG836" s="3"/>
      <c r="AH836" s="3"/>
    </row>
    <row r="837" spans="1:34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R837" s="3"/>
      <c r="S837" s="3"/>
      <c r="W837" s="3"/>
      <c r="X837" s="275" t="s">
        <v>732</v>
      </c>
      <c r="Y837" s="452" t="s">
        <v>416</v>
      </c>
      <c r="Z837" s="453" t="s">
        <v>5</v>
      </c>
      <c r="AA837" s="453" t="s">
        <v>29</v>
      </c>
      <c r="AB837" s="409" t="s">
        <v>733</v>
      </c>
      <c r="AC837" s="185"/>
      <c r="AD837" s="672">
        <f>AD838</f>
        <v>790</v>
      </c>
      <c r="AE837" s="634">
        <f t="shared" si="246"/>
        <v>0</v>
      </c>
      <c r="AF837" s="645">
        <f t="shared" si="246"/>
        <v>0</v>
      </c>
      <c r="AG837" s="3"/>
      <c r="AH837" s="3"/>
    </row>
    <row r="838" spans="1:34" ht="31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R838" s="3"/>
      <c r="S838" s="3"/>
      <c r="W838" s="3"/>
      <c r="X838" s="275" t="s">
        <v>734</v>
      </c>
      <c r="Y838" s="452" t="s">
        <v>416</v>
      </c>
      <c r="Z838" s="453" t="s">
        <v>5</v>
      </c>
      <c r="AA838" s="453" t="s">
        <v>29</v>
      </c>
      <c r="AB838" s="409" t="s">
        <v>735</v>
      </c>
      <c r="AC838" s="185"/>
      <c r="AD838" s="672">
        <f>AD839</f>
        <v>790</v>
      </c>
      <c r="AE838" s="634">
        <f t="shared" si="246"/>
        <v>0</v>
      </c>
      <c r="AF838" s="645">
        <f t="shared" si="246"/>
        <v>0</v>
      </c>
      <c r="AG838" s="3"/>
      <c r="AH838" s="3"/>
    </row>
    <row r="839" spans="1:34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R839" s="3"/>
      <c r="S839" s="3"/>
      <c r="W839" s="3"/>
      <c r="X839" s="273" t="s">
        <v>120</v>
      </c>
      <c r="Y839" s="452" t="s">
        <v>416</v>
      </c>
      <c r="Z839" s="453" t="s">
        <v>5</v>
      </c>
      <c r="AA839" s="453" t="s">
        <v>29</v>
      </c>
      <c r="AB839" s="409" t="s">
        <v>735</v>
      </c>
      <c r="AC839" s="185" t="s">
        <v>37</v>
      </c>
      <c r="AD839" s="672">
        <f>AD840</f>
        <v>790</v>
      </c>
      <c r="AE839" s="634">
        <f>AE840</f>
        <v>0</v>
      </c>
      <c r="AF839" s="645">
        <f>AF840</f>
        <v>0</v>
      </c>
      <c r="AG839" s="3"/>
      <c r="AH839" s="3"/>
    </row>
    <row r="840" spans="1:34" ht="31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R840" s="3"/>
      <c r="S840" s="3"/>
      <c r="W840" s="3"/>
      <c r="X840" s="273" t="s">
        <v>52</v>
      </c>
      <c r="Y840" s="452" t="s">
        <v>416</v>
      </c>
      <c r="Z840" s="453" t="s">
        <v>5</v>
      </c>
      <c r="AA840" s="453" t="s">
        <v>29</v>
      </c>
      <c r="AB840" s="409" t="s">
        <v>735</v>
      </c>
      <c r="AC840" s="185" t="s">
        <v>65</v>
      </c>
      <c r="AD840" s="672">
        <f>3000-2210</f>
        <v>790</v>
      </c>
      <c r="AE840" s="634">
        <v>0</v>
      </c>
      <c r="AF840" s="645">
        <v>0</v>
      </c>
      <c r="AG840" s="3"/>
      <c r="AH840" s="3"/>
    </row>
    <row r="841" spans="1:34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R841" s="3"/>
      <c r="S841" s="3"/>
      <c r="W841" s="3"/>
      <c r="X841" s="451" t="s">
        <v>323</v>
      </c>
      <c r="Y841" s="452" t="s">
        <v>416</v>
      </c>
      <c r="Z841" s="453" t="s">
        <v>5</v>
      </c>
      <c r="AA841" s="453" t="s">
        <v>30</v>
      </c>
      <c r="AB841" s="477"/>
      <c r="AC841" s="473"/>
      <c r="AD841" s="672">
        <f>AD842+AD877</f>
        <v>931650.8</v>
      </c>
      <c r="AE841" s="634">
        <f>AE842+AE877</f>
        <v>579541.49999999988</v>
      </c>
      <c r="AF841" s="645">
        <f>AF842+AF877</f>
        <v>240743.3</v>
      </c>
      <c r="AG841" s="3"/>
      <c r="AH841" s="3"/>
    </row>
    <row r="842" spans="1:34" ht="31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W842" s="3"/>
      <c r="X842" s="451" t="s">
        <v>587</v>
      </c>
      <c r="Y842" s="452" t="s">
        <v>416</v>
      </c>
      <c r="Z842" s="453" t="s">
        <v>5</v>
      </c>
      <c r="AA842" s="453" t="s">
        <v>30</v>
      </c>
      <c r="AB842" s="542" t="s">
        <v>111</v>
      </c>
      <c r="AC842" s="473"/>
      <c r="AD842" s="672">
        <f>AD843+AD869</f>
        <v>931057.70000000007</v>
      </c>
      <c r="AE842" s="634">
        <f>AE843+AE869</f>
        <v>579541.49999999988</v>
      </c>
      <c r="AF842" s="645">
        <f>AF843+AF869</f>
        <v>240743.3</v>
      </c>
      <c r="AG842" s="3"/>
      <c r="AH842" s="3"/>
    </row>
    <row r="843" spans="1:34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R843" s="3"/>
      <c r="S843" s="3"/>
      <c r="W843" s="3"/>
      <c r="X843" s="451" t="s">
        <v>529</v>
      </c>
      <c r="Y843" s="452" t="s">
        <v>416</v>
      </c>
      <c r="Z843" s="453" t="s">
        <v>5</v>
      </c>
      <c r="AA843" s="453" t="s">
        <v>30</v>
      </c>
      <c r="AB843" s="542" t="s">
        <v>389</v>
      </c>
      <c r="AC843" s="473"/>
      <c r="AD843" s="672">
        <f>AD844+AD862</f>
        <v>909057.70000000007</v>
      </c>
      <c r="AE843" s="634">
        <f>AE844+AE862</f>
        <v>579541.49999999988</v>
      </c>
      <c r="AF843" s="645">
        <f>AF844+AF862</f>
        <v>240743.3</v>
      </c>
      <c r="AG843" s="3"/>
      <c r="AH843" s="3"/>
    </row>
    <row r="844" spans="1:34" ht="31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R844" s="3"/>
      <c r="S844" s="3"/>
      <c r="W844" s="3"/>
      <c r="X844" s="451" t="s">
        <v>582</v>
      </c>
      <c r="Y844" s="452" t="s">
        <v>416</v>
      </c>
      <c r="Z844" s="453" t="s">
        <v>5</v>
      </c>
      <c r="AA844" s="453" t="s">
        <v>30</v>
      </c>
      <c r="AB844" s="555" t="s">
        <v>442</v>
      </c>
      <c r="AC844" s="473"/>
      <c r="AD844" s="672">
        <f>AD8120+AD859+AD846+AD849</f>
        <v>421332.9</v>
      </c>
      <c r="AE844" s="634">
        <f>AE8120+AE859+AE846+AE849</f>
        <v>516554.29999999993</v>
      </c>
      <c r="AF844" s="645">
        <f>AF8120+AF859+AF846+AF849</f>
        <v>240743.3</v>
      </c>
      <c r="AG844" s="3"/>
      <c r="AH844" s="3"/>
    </row>
    <row r="845" spans="1:34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R845" s="3"/>
      <c r="S845" s="3"/>
      <c r="W845" s="3"/>
      <c r="X845" s="451" t="s">
        <v>549</v>
      </c>
      <c r="Y845" s="452" t="s">
        <v>416</v>
      </c>
      <c r="Z845" s="453" t="s">
        <v>5</v>
      </c>
      <c r="AA845" s="453" t="s">
        <v>30</v>
      </c>
      <c r="AB845" s="555" t="s">
        <v>648</v>
      </c>
      <c r="AC845" s="473"/>
      <c r="AD845" s="672">
        <f>AD846</f>
        <v>115439.79999999999</v>
      </c>
      <c r="AE845" s="634">
        <f t="shared" ref="AE845:AF845" si="247">AE846</f>
        <v>0</v>
      </c>
      <c r="AF845" s="645">
        <f t="shared" si="247"/>
        <v>0</v>
      </c>
      <c r="AG845" s="3"/>
      <c r="AH845" s="3"/>
    </row>
    <row r="846" spans="1:34" ht="31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R846" s="3"/>
      <c r="S846" s="3"/>
      <c r="W846" s="3"/>
      <c r="X846" s="451" t="s">
        <v>721</v>
      </c>
      <c r="Y846" s="452" t="s">
        <v>416</v>
      </c>
      <c r="Z846" s="453" t="s">
        <v>5</v>
      </c>
      <c r="AA846" s="453" t="s">
        <v>30</v>
      </c>
      <c r="AB846" s="555" t="s">
        <v>720</v>
      </c>
      <c r="AC846" s="473"/>
      <c r="AD846" s="672">
        <f t="shared" ref="AD846:AF847" si="248">AD847</f>
        <v>115439.79999999999</v>
      </c>
      <c r="AE846" s="634">
        <f t="shared" si="248"/>
        <v>0</v>
      </c>
      <c r="AF846" s="645">
        <f t="shared" si="248"/>
        <v>0</v>
      </c>
      <c r="AG846" s="3"/>
      <c r="AH846" s="3"/>
    </row>
    <row r="847" spans="1:34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R847" s="3"/>
      <c r="S847" s="3"/>
      <c r="W847" s="3"/>
      <c r="X847" s="668" t="s">
        <v>417</v>
      </c>
      <c r="Y847" s="452" t="s">
        <v>416</v>
      </c>
      <c r="Z847" s="453" t="s">
        <v>5</v>
      </c>
      <c r="AA847" s="453" t="s">
        <v>30</v>
      </c>
      <c r="AB847" s="555" t="s">
        <v>720</v>
      </c>
      <c r="AC847" s="473" t="s">
        <v>154</v>
      </c>
      <c r="AD847" s="672">
        <f t="shared" si="248"/>
        <v>115439.79999999999</v>
      </c>
      <c r="AE847" s="634">
        <f t="shared" si="248"/>
        <v>0</v>
      </c>
      <c r="AF847" s="645">
        <f t="shared" si="248"/>
        <v>0</v>
      </c>
      <c r="AG847" s="3"/>
      <c r="AH847" s="3"/>
    </row>
    <row r="848" spans="1:3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W848" s="3"/>
      <c r="X848" s="451" t="s">
        <v>9</v>
      </c>
      <c r="Y848" s="452" t="s">
        <v>416</v>
      </c>
      <c r="Z848" s="453" t="s">
        <v>5</v>
      </c>
      <c r="AA848" s="453" t="s">
        <v>30</v>
      </c>
      <c r="AB848" s="555" t="s">
        <v>720</v>
      </c>
      <c r="AC848" s="473" t="s">
        <v>155</v>
      </c>
      <c r="AD848" s="672">
        <f>85487.4+19020.4+3114.7+7817.3</f>
        <v>115439.79999999999</v>
      </c>
      <c r="AE848" s="634">
        <v>0</v>
      </c>
      <c r="AF848" s="645">
        <v>0</v>
      </c>
      <c r="AG848" s="3"/>
      <c r="AH848" s="3"/>
    </row>
    <row r="849" spans="1:34" ht="31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W849" s="3"/>
      <c r="X849" s="451" t="s">
        <v>654</v>
      </c>
      <c r="Y849" s="452" t="s">
        <v>416</v>
      </c>
      <c r="Z849" s="453" t="s">
        <v>5</v>
      </c>
      <c r="AA849" s="453" t="s">
        <v>30</v>
      </c>
      <c r="AB849" s="555" t="s">
        <v>653</v>
      </c>
      <c r="AC849" s="473"/>
      <c r="AD849" s="672">
        <f>AD850+AD853+AD856</f>
        <v>621.20000000000005</v>
      </c>
      <c r="AE849" s="672">
        <f t="shared" ref="AE849:AF849" si="249">AE850+AE853+AE856</f>
        <v>295713.39999999997</v>
      </c>
      <c r="AF849" s="672">
        <f t="shared" si="249"/>
        <v>240743.3</v>
      </c>
      <c r="AG849" s="3"/>
      <c r="AH849" s="3"/>
    </row>
    <row r="850" spans="1:34" ht="47.2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W850" s="3"/>
      <c r="X850" s="451" t="s">
        <v>718</v>
      </c>
      <c r="Y850" s="452" t="s">
        <v>416</v>
      </c>
      <c r="Z850" s="453" t="s">
        <v>5</v>
      </c>
      <c r="AA850" s="453" t="s">
        <v>30</v>
      </c>
      <c r="AB850" s="555" t="s">
        <v>716</v>
      </c>
      <c r="AC850" s="473"/>
      <c r="AD850" s="672">
        <f>AD851</f>
        <v>0</v>
      </c>
      <c r="AE850" s="634">
        <f t="shared" ref="AE850:AF850" si="250">AE851</f>
        <v>51481.299999999996</v>
      </c>
      <c r="AF850" s="645">
        <f t="shared" si="250"/>
        <v>120123</v>
      </c>
      <c r="AG850" s="3"/>
      <c r="AH850" s="3"/>
    </row>
    <row r="851" spans="1:34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R851" s="3"/>
      <c r="S851" s="3"/>
      <c r="W851" s="3"/>
      <c r="X851" s="668" t="s">
        <v>417</v>
      </c>
      <c r="Y851" s="452" t="s">
        <v>416</v>
      </c>
      <c r="Z851" s="453" t="s">
        <v>5</v>
      </c>
      <c r="AA851" s="453" t="s">
        <v>30</v>
      </c>
      <c r="AB851" s="555" t="s">
        <v>716</v>
      </c>
      <c r="AC851" s="473" t="s">
        <v>154</v>
      </c>
      <c r="AD851" s="672">
        <f t="shared" ref="AD851:AF851" si="251">AD852</f>
        <v>0</v>
      </c>
      <c r="AE851" s="634">
        <f t="shared" si="251"/>
        <v>51481.299999999996</v>
      </c>
      <c r="AF851" s="645">
        <f t="shared" si="251"/>
        <v>120123</v>
      </c>
      <c r="AG851" s="3"/>
      <c r="AH851" s="3"/>
    </row>
    <row r="852" spans="1:34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R852" s="3"/>
      <c r="S852" s="3"/>
      <c r="W852" s="3"/>
      <c r="X852" s="451" t="s">
        <v>9</v>
      </c>
      <c r="Y852" s="452" t="s">
        <v>416</v>
      </c>
      <c r="Z852" s="453" t="s">
        <v>5</v>
      </c>
      <c r="AA852" s="453" t="s">
        <v>30</v>
      </c>
      <c r="AB852" s="555" t="s">
        <v>716</v>
      </c>
      <c r="AC852" s="473" t="s">
        <v>155</v>
      </c>
      <c r="AD852" s="672">
        <v>0</v>
      </c>
      <c r="AE852" s="634">
        <f>9369.6+42111.7</f>
        <v>51481.299999999996</v>
      </c>
      <c r="AF852" s="645">
        <f>21862.4+98260.6</f>
        <v>120123</v>
      </c>
      <c r="AG852" s="3"/>
      <c r="AH852" s="3"/>
    </row>
    <row r="853" spans="1:34" ht="47.2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R853" s="3"/>
      <c r="S853" s="3"/>
      <c r="W853" s="3"/>
      <c r="X853" s="451" t="s">
        <v>719</v>
      </c>
      <c r="Y853" s="452" t="s">
        <v>416</v>
      </c>
      <c r="Z853" s="453" t="s">
        <v>5</v>
      </c>
      <c r="AA853" s="453" t="s">
        <v>30</v>
      </c>
      <c r="AB853" s="555" t="s">
        <v>717</v>
      </c>
      <c r="AC853" s="473"/>
      <c r="AD853" s="672">
        <f>AD854</f>
        <v>0</v>
      </c>
      <c r="AE853" s="634">
        <f t="shared" ref="AE853:AF854" si="252">AE854</f>
        <v>120620.29999999999</v>
      </c>
      <c r="AF853" s="645">
        <f t="shared" si="252"/>
        <v>120620.29999999999</v>
      </c>
      <c r="AG853" s="3"/>
      <c r="AH853" s="3"/>
    </row>
    <row r="854" spans="1:34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W854" s="3"/>
      <c r="X854" s="668" t="s">
        <v>417</v>
      </c>
      <c r="Y854" s="452" t="s">
        <v>416</v>
      </c>
      <c r="Z854" s="453" t="s">
        <v>5</v>
      </c>
      <c r="AA854" s="453" t="s">
        <v>30</v>
      </c>
      <c r="AB854" s="555" t="s">
        <v>717</v>
      </c>
      <c r="AC854" s="473" t="s">
        <v>154</v>
      </c>
      <c r="AD854" s="672">
        <f>AD855</f>
        <v>0</v>
      </c>
      <c r="AE854" s="634">
        <f t="shared" si="252"/>
        <v>120620.29999999999</v>
      </c>
      <c r="AF854" s="645">
        <f t="shared" si="252"/>
        <v>120620.29999999999</v>
      </c>
      <c r="AG854" s="3"/>
      <c r="AH854" s="3"/>
    </row>
    <row r="855" spans="1:3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R855" s="3"/>
      <c r="S855" s="3"/>
      <c r="W855" s="3"/>
      <c r="X855" s="451" t="s">
        <v>9</v>
      </c>
      <c r="Y855" s="452" t="s">
        <v>416</v>
      </c>
      <c r="Z855" s="453" t="s">
        <v>5</v>
      </c>
      <c r="AA855" s="453" t="s">
        <v>30</v>
      </c>
      <c r="AB855" s="555" t="s">
        <v>717</v>
      </c>
      <c r="AC855" s="473" t="s">
        <v>155</v>
      </c>
      <c r="AD855" s="672">
        <v>0</v>
      </c>
      <c r="AE855" s="634">
        <f>98667.4+21952.9</f>
        <v>120620.29999999999</v>
      </c>
      <c r="AF855" s="645">
        <f>98667.4+21952.9</f>
        <v>120620.29999999999</v>
      </c>
      <c r="AG855" s="3"/>
      <c r="AH855" s="3"/>
    </row>
    <row r="856" spans="1:34" ht="54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R856" s="3"/>
      <c r="S856" s="3"/>
      <c r="W856" s="3"/>
      <c r="X856" s="451" t="s">
        <v>839</v>
      </c>
      <c r="Y856" s="452" t="s">
        <v>416</v>
      </c>
      <c r="Z856" s="453" t="s">
        <v>5</v>
      </c>
      <c r="AA856" s="453" t="s">
        <v>30</v>
      </c>
      <c r="AB856" s="555" t="s">
        <v>840</v>
      </c>
      <c r="AC856" s="473"/>
      <c r="AD856" s="672">
        <f>AD857</f>
        <v>621.20000000000005</v>
      </c>
      <c r="AE856" s="672">
        <f t="shared" ref="AE856:AF856" si="253">AE857</f>
        <v>123611.8</v>
      </c>
      <c r="AF856" s="672">
        <f t="shared" si="253"/>
        <v>0</v>
      </c>
      <c r="AG856" s="3"/>
      <c r="AH856" s="3"/>
    </row>
    <row r="857" spans="1:3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W857" s="3"/>
      <c r="X857" s="668" t="s">
        <v>417</v>
      </c>
      <c r="Y857" s="452" t="s">
        <v>416</v>
      </c>
      <c r="Z857" s="453" t="s">
        <v>5</v>
      </c>
      <c r="AA857" s="453" t="s">
        <v>30</v>
      </c>
      <c r="AB857" s="555" t="s">
        <v>840</v>
      </c>
      <c r="AC857" s="473" t="s">
        <v>154</v>
      </c>
      <c r="AD857" s="672">
        <f>AD858</f>
        <v>621.20000000000005</v>
      </c>
      <c r="AE857" s="672">
        <f t="shared" ref="AE857:AF857" si="254">AE858</f>
        <v>123611.8</v>
      </c>
      <c r="AF857" s="672">
        <f t="shared" si="254"/>
        <v>0</v>
      </c>
      <c r="AG857" s="3"/>
      <c r="AH857" s="3"/>
    </row>
    <row r="858" spans="1:34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R858" s="3"/>
      <c r="S858" s="3"/>
      <c r="W858" s="3"/>
      <c r="X858" s="451" t="s">
        <v>9</v>
      </c>
      <c r="Y858" s="452" t="s">
        <v>416</v>
      </c>
      <c r="Z858" s="453" t="s">
        <v>5</v>
      </c>
      <c r="AA858" s="453" t="s">
        <v>30</v>
      </c>
      <c r="AB858" s="555" t="s">
        <v>840</v>
      </c>
      <c r="AC858" s="473" t="s">
        <v>155</v>
      </c>
      <c r="AD858" s="672">
        <f>510+111.2</f>
        <v>621.20000000000005</v>
      </c>
      <c r="AE858" s="634">
        <f>101485.3+22126.5</f>
        <v>123611.8</v>
      </c>
      <c r="AF858" s="645">
        <v>0</v>
      </c>
      <c r="AG858" s="3"/>
      <c r="AH858" s="3"/>
    </row>
    <row r="859" spans="1:34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R859" s="3"/>
      <c r="S859" s="3"/>
      <c r="W859" s="3"/>
      <c r="X859" s="451" t="s">
        <v>841</v>
      </c>
      <c r="Y859" s="452" t="s">
        <v>416</v>
      </c>
      <c r="Z859" s="453" t="s">
        <v>5</v>
      </c>
      <c r="AA859" s="453" t="s">
        <v>30</v>
      </c>
      <c r="AB859" s="555" t="s">
        <v>646</v>
      </c>
      <c r="AC859" s="473"/>
      <c r="AD859" s="672">
        <f t="shared" ref="AD859:AF860" si="255">AD860</f>
        <v>305271.90000000002</v>
      </c>
      <c r="AE859" s="634">
        <f t="shared" si="255"/>
        <v>220840.9</v>
      </c>
      <c r="AF859" s="645">
        <f t="shared" si="255"/>
        <v>0</v>
      </c>
      <c r="AG859" s="3"/>
      <c r="AH859" s="3"/>
    </row>
    <row r="860" spans="1:3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R860" s="3"/>
      <c r="S860" s="3"/>
      <c r="W860" s="3"/>
      <c r="X860" s="451" t="s">
        <v>120</v>
      </c>
      <c r="Y860" s="452" t="s">
        <v>416</v>
      </c>
      <c r="Z860" s="453" t="s">
        <v>5</v>
      </c>
      <c r="AA860" s="453" t="s">
        <v>30</v>
      </c>
      <c r="AB860" s="555" t="s">
        <v>646</v>
      </c>
      <c r="AC860" s="473" t="s">
        <v>37</v>
      </c>
      <c r="AD860" s="672">
        <f t="shared" si="255"/>
        <v>305271.90000000002</v>
      </c>
      <c r="AE860" s="634">
        <f t="shared" si="255"/>
        <v>220840.9</v>
      </c>
      <c r="AF860" s="645">
        <f t="shared" si="255"/>
        <v>0</v>
      </c>
      <c r="AG860" s="3"/>
      <c r="AH860" s="3"/>
    </row>
    <row r="861" spans="1:34" ht="31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R861" s="3"/>
      <c r="S861" s="3"/>
      <c r="W861" s="3"/>
      <c r="X861" s="451" t="s">
        <v>52</v>
      </c>
      <c r="Y861" s="452" t="s">
        <v>416</v>
      </c>
      <c r="Z861" s="453" t="s">
        <v>5</v>
      </c>
      <c r="AA861" s="453" t="s">
        <v>30</v>
      </c>
      <c r="AB861" s="555" t="s">
        <v>646</v>
      </c>
      <c r="AC861" s="473" t="s">
        <v>65</v>
      </c>
      <c r="AD861" s="672">
        <f>249712.4+55559.5</f>
        <v>305271.90000000002</v>
      </c>
      <c r="AE861" s="635">
        <f>180647.8+40193.1</f>
        <v>220840.9</v>
      </c>
      <c r="AF861" s="648">
        <v>0</v>
      </c>
      <c r="AG861" s="3"/>
      <c r="AH861" s="3"/>
    </row>
    <row r="862" spans="1:34" ht="47.2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R862" s="3"/>
      <c r="S862" s="3"/>
      <c r="W862" s="3"/>
      <c r="X862" s="451" t="s">
        <v>727</v>
      </c>
      <c r="Y862" s="452" t="s">
        <v>416</v>
      </c>
      <c r="Z862" s="453" t="s">
        <v>5</v>
      </c>
      <c r="AA862" s="453" t="s">
        <v>30</v>
      </c>
      <c r="AB862" s="542" t="s">
        <v>626</v>
      </c>
      <c r="AC862" s="473"/>
      <c r="AD862" s="672">
        <f>AD866+AD863</f>
        <v>487724.80000000005</v>
      </c>
      <c r="AE862" s="634">
        <f t="shared" ref="AE862:AF862" si="256">AE866</f>
        <v>62987.199999999997</v>
      </c>
      <c r="AF862" s="645">
        <f t="shared" si="256"/>
        <v>0</v>
      </c>
      <c r="AG862" s="3"/>
      <c r="AH862" s="3"/>
    </row>
    <row r="863" spans="1:34" ht="33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R863" s="3"/>
      <c r="S863" s="3"/>
      <c r="W863" s="3"/>
      <c r="X863" s="451" t="s">
        <v>784</v>
      </c>
      <c r="Y863" s="452" t="s">
        <v>416</v>
      </c>
      <c r="Z863" s="453" t="s">
        <v>5</v>
      </c>
      <c r="AA863" s="453" t="s">
        <v>30</v>
      </c>
      <c r="AB863" s="542" t="s">
        <v>783</v>
      </c>
      <c r="AC863" s="473"/>
      <c r="AD863" s="672">
        <f>AD864</f>
        <v>2400</v>
      </c>
      <c r="AE863" s="634">
        <f t="shared" ref="AE863:AF864" si="257">AE864</f>
        <v>0</v>
      </c>
      <c r="AF863" s="645">
        <f t="shared" si="257"/>
        <v>0</v>
      </c>
      <c r="AG863" s="3"/>
      <c r="AH863" s="3"/>
    </row>
    <row r="864" spans="1:34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R864" s="3"/>
      <c r="S864" s="3"/>
      <c r="W864" s="3"/>
      <c r="X864" s="451" t="s">
        <v>120</v>
      </c>
      <c r="Y864" s="452" t="s">
        <v>416</v>
      </c>
      <c r="Z864" s="453" t="s">
        <v>5</v>
      </c>
      <c r="AA864" s="453" t="s">
        <v>30</v>
      </c>
      <c r="AB864" s="542" t="s">
        <v>783</v>
      </c>
      <c r="AC864" s="473" t="s">
        <v>37</v>
      </c>
      <c r="AD864" s="672">
        <f>AD865</f>
        <v>2400</v>
      </c>
      <c r="AE864" s="634">
        <f t="shared" si="257"/>
        <v>0</v>
      </c>
      <c r="AF864" s="645">
        <f t="shared" si="257"/>
        <v>0</v>
      </c>
      <c r="AG864" s="3"/>
      <c r="AH864" s="3"/>
    </row>
    <row r="865" spans="1:34" ht="31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R865" s="3"/>
      <c r="S865" s="3"/>
      <c r="W865" s="3"/>
      <c r="X865" s="451" t="s">
        <v>52</v>
      </c>
      <c r="Y865" s="452" t="s">
        <v>416</v>
      </c>
      <c r="Z865" s="453" t="s">
        <v>5</v>
      </c>
      <c r="AA865" s="453" t="s">
        <v>30</v>
      </c>
      <c r="AB865" s="542" t="s">
        <v>783</v>
      </c>
      <c r="AC865" s="473" t="s">
        <v>65</v>
      </c>
      <c r="AD865" s="672">
        <f>1500+900</f>
        <v>2400</v>
      </c>
      <c r="AE865" s="634">
        <v>0</v>
      </c>
      <c r="AF865" s="645">
        <v>0</v>
      </c>
      <c r="AG865" s="3"/>
      <c r="AH865" s="3"/>
    </row>
    <row r="866" spans="1:34" ht="31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R866" s="3"/>
      <c r="S866" s="3"/>
      <c r="W866" s="3"/>
      <c r="X866" s="451" t="s">
        <v>640</v>
      </c>
      <c r="Y866" s="452" t="s">
        <v>416</v>
      </c>
      <c r="Z866" s="453" t="s">
        <v>5</v>
      </c>
      <c r="AA866" s="453" t="s">
        <v>30</v>
      </c>
      <c r="AB866" s="555" t="s">
        <v>647</v>
      </c>
      <c r="AC866" s="473"/>
      <c r="AD866" s="672">
        <f t="shared" ref="AD866:AF867" si="258">AD867</f>
        <v>485324.80000000005</v>
      </c>
      <c r="AE866" s="634">
        <f t="shared" si="258"/>
        <v>62987.199999999997</v>
      </c>
      <c r="AF866" s="645">
        <f t="shared" si="258"/>
        <v>0</v>
      </c>
      <c r="AG866" s="3"/>
      <c r="AH866" s="3"/>
    </row>
    <row r="867" spans="1:34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R867" s="3"/>
      <c r="S867" s="3"/>
      <c r="W867" s="3"/>
      <c r="X867" s="451" t="s">
        <v>120</v>
      </c>
      <c r="Y867" s="452" t="s">
        <v>416</v>
      </c>
      <c r="Z867" s="453" t="s">
        <v>5</v>
      </c>
      <c r="AA867" s="453" t="s">
        <v>30</v>
      </c>
      <c r="AB867" s="555" t="s">
        <v>647</v>
      </c>
      <c r="AC867" s="473" t="s">
        <v>37</v>
      </c>
      <c r="AD867" s="672">
        <f t="shared" si="258"/>
        <v>485324.80000000005</v>
      </c>
      <c r="AE867" s="634">
        <f t="shared" si="258"/>
        <v>62987.199999999997</v>
      </c>
      <c r="AF867" s="645">
        <f t="shared" si="258"/>
        <v>0</v>
      </c>
      <c r="AG867" s="3"/>
      <c r="AH867" s="3"/>
    </row>
    <row r="868" spans="1:34" ht="31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R868" s="3"/>
      <c r="S868" s="3"/>
      <c r="W868" s="3"/>
      <c r="X868" s="451" t="s">
        <v>52</v>
      </c>
      <c r="Y868" s="452" t="s">
        <v>416</v>
      </c>
      <c r="Z868" s="453" t="s">
        <v>5</v>
      </c>
      <c r="AA868" s="453" t="s">
        <v>30</v>
      </c>
      <c r="AB868" s="555" t="s">
        <v>647</v>
      </c>
      <c r="AC868" s="473" t="s">
        <v>65</v>
      </c>
      <c r="AD868" s="672">
        <f>396736.7+88271.5+259.9+56.7</f>
        <v>485324.80000000005</v>
      </c>
      <c r="AE868" s="634">
        <f>51712.5+11274.7</f>
        <v>62987.199999999997</v>
      </c>
      <c r="AF868" s="645"/>
      <c r="AG868" s="3"/>
      <c r="AH868" s="3"/>
    </row>
    <row r="869" spans="1:34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R869" s="3"/>
      <c r="S869" s="3"/>
      <c r="W869" s="3"/>
      <c r="X869" s="451" t="s">
        <v>665</v>
      </c>
      <c r="Y869" s="452" t="s">
        <v>416</v>
      </c>
      <c r="Z869" s="453" t="s">
        <v>5</v>
      </c>
      <c r="AA869" s="453" t="s">
        <v>30</v>
      </c>
      <c r="AB869" s="542" t="s">
        <v>666</v>
      </c>
      <c r="AC869" s="473"/>
      <c r="AD869" s="672">
        <f>AD870</f>
        <v>22000</v>
      </c>
      <c r="AE869" s="634">
        <f t="shared" ref="AE869:AF869" si="259">AE870</f>
        <v>0</v>
      </c>
      <c r="AF869" s="645">
        <f t="shared" si="259"/>
        <v>0</v>
      </c>
      <c r="AG869" s="3"/>
      <c r="AH869" s="3"/>
    </row>
    <row r="870" spans="1:34" ht="31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R870" s="3"/>
      <c r="S870" s="3"/>
      <c r="W870" s="3"/>
      <c r="X870" s="451" t="s">
        <v>668</v>
      </c>
      <c r="Y870" s="452" t="s">
        <v>416</v>
      </c>
      <c r="Z870" s="453" t="s">
        <v>5</v>
      </c>
      <c r="AA870" s="453" t="s">
        <v>30</v>
      </c>
      <c r="AB870" s="542" t="s">
        <v>667</v>
      </c>
      <c r="AC870" s="473"/>
      <c r="AD870" s="672">
        <f>AD874+AD871</f>
        <v>22000</v>
      </c>
      <c r="AE870" s="634">
        <f>AE874</f>
        <v>0</v>
      </c>
      <c r="AF870" s="645">
        <f>AF874</f>
        <v>0</v>
      </c>
      <c r="AG870" s="3"/>
      <c r="AH870" s="3"/>
    </row>
    <row r="871" spans="1:34" ht="30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R871" s="3"/>
      <c r="S871" s="3"/>
      <c r="W871" s="3"/>
      <c r="X871" s="451" t="s">
        <v>846</v>
      </c>
      <c r="Y871" s="452" t="s">
        <v>416</v>
      </c>
      <c r="Z871" s="453" t="s">
        <v>5</v>
      </c>
      <c r="AA871" s="453" t="s">
        <v>30</v>
      </c>
      <c r="AB871" s="542" t="s">
        <v>847</v>
      </c>
      <c r="AC871" s="473"/>
      <c r="AD871" s="672">
        <f>AD872</f>
        <v>5500</v>
      </c>
      <c r="AE871" s="672">
        <f t="shared" ref="AE871:AF872" si="260">AE872</f>
        <v>0</v>
      </c>
      <c r="AF871" s="672">
        <f t="shared" si="260"/>
        <v>0</v>
      </c>
      <c r="AG871" s="3"/>
      <c r="AH871" s="3"/>
    </row>
    <row r="872" spans="1:34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R872" s="3"/>
      <c r="S872" s="3"/>
      <c r="W872" s="3"/>
      <c r="X872" s="451" t="s">
        <v>120</v>
      </c>
      <c r="Y872" s="452" t="s">
        <v>416</v>
      </c>
      <c r="Z872" s="453" t="s">
        <v>5</v>
      </c>
      <c r="AA872" s="453" t="s">
        <v>30</v>
      </c>
      <c r="AB872" s="542" t="s">
        <v>847</v>
      </c>
      <c r="AC872" s="473" t="s">
        <v>37</v>
      </c>
      <c r="AD872" s="672">
        <f>AD873</f>
        <v>5500</v>
      </c>
      <c r="AE872" s="672">
        <f t="shared" si="260"/>
        <v>0</v>
      </c>
      <c r="AF872" s="672">
        <f t="shared" si="260"/>
        <v>0</v>
      </c>
      <c r="AG872" s="3"/>
      <c r="AH872" s="3"/>
    </row>
    <row r="873" spans="1:34" ht="31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R873" s="3"/>
      <c r="S873" s="3"/>
      <c r="W873" s="3"/>
      <c r="X873" s="451" t="s">
        <v>52</v>
      </c>
      <c r="Y873" s="452" t="s">
        <v>416</v>
      </c>
      <c r="Z873" s="453" t="s">
        <v>5</v>
      </c>
      <c r="AA873" s="453" t="s">
        <v>30</v>
      </c>
      <c r="AB873" s="542" t="s">
        <v>847</v>
      </c>
      <c r="AC873" s="473" t="s">
        <v>65</v>
      </c>
      <c r="AD873" s="672">
        <v>5500</v>
      </c>
      <c r="AE873" s="634">
        <v>0</v>
      </c>
      <c r="AF873" s="645">
        <v>0</v>
      </c>
      <c r="AG873" s="3"/>
      <c r="AH873" s="3"/>
    </row>
    <row r="874" spans="1:34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R874" s="3"/>
      <c r="S874" s="3"/>
      <c r="W874" s="3"/>
      <c r="X874" s="451" t="s">
        <v>669</v>
      </c>
      <c r="Y874" s="452" t="s">
        <v>416</v>
      </c>
      <c r="Z874" s="453" t="s">
        <v>5</v>
      </c>
      <c r="AA874" s="453" t="s">
        <v>30</v>
      </c>
      <c r="AB874" s="542" t="s">
        <v>670</v>
      </c>
      <c r="AC874" s="473"/>
      <c r="AD874" s="672">
        <f>AD875</f>
        <v>16500</v>
      </c>
      <c r="AE874" s="634">
        <f t="shared" ref="AE874:AF875" si="261">AE875</f>
        <v>0</v>
      </c>
      <c r="AF874" s="645">
        <f t="shared" si="261"/>
        <v>0</v>
      </c>
      <c r="AG874" s="3"/>
      <c r="AH874" s="3"/>
    </row>
    <row r="875" spans="1:3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R875" s="3"/>
      <c r="S875" s="3"/>
      <c r="W875" s="3"/>
      <c r="X875" s="451" t="s">
        <v>120</v>
      </c>
      <c r="Y875" s="452" t="s">
        <v>416</v>
      </c>
      <c r="Z875" s="453" t="s">
        <v>5</v>
      </c>
      <c r="AA875" s="453" t="s">
        <v>30</v>
      </c>
      <c r="AB875" s="542" t="s">
        <v>670</v>
      </c>
      <c r="AC875" s="185" t="s">
        <v>37</v>
      </c>
      <c r="AD875" s="672">
        <f>AD876</f>
        <v>16500</v>
      </c>
      <c r="AE875" s="634">
        <f t="shared" si="261"/>
        <v>0</v>
      </c>
      <c r="AF875" s="645">
        <f t="shared" si="261"/>
        <v>0</v>
      </c>
      <c r="AG875" s="3"/>
      <c r="AH875" s="3"/>
    </row>
    <row r="876" spans="1:34" ht="31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R876" s="3"/>
      <c r="S876" s="3"/>
      <c r="W876" s="3"/>
      <c r="X876" s="451" t="s">
        <v>52</v>
      </c>
      <c r="Y876" s="452" t="s">
        <v>416</v>
      </c>
      <c r="Z876" s="453" t="s">
        <v>5</v>
      </c>
      <c r="AA876" s="453" t="s">
        <v>30</v>
      </c>
      <c r="AB876" s="542" t="s">
        <v>670</v>
      </c>
      <c r="AC876" s="185" t="s">
        <v>65</v>
      </c>
      <c r="AD876" s="672">
        <v>16500</v>
      </c>
      <c r="AE876" s="634">
        <v>0</v>
      </c>
      <c r="AF876" s="645">
        <v>0</v>
      </c>
      <c r="AG876" s="3"/>
      <c r="AH876" s="3"/>
    </row>
    <row r="877" spans="1:34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R877" s="3"/>
      <c r="S877" s="3"/>
      <c r="W877" s="3"/>
      <c r="X877" s="457" t="s">
        <v>242</v>
      </c>
      <c r="Y877" s="452" t="s">
        <v>416</v>
      </c>
      <c r="Z877" s="453" t="s">
        <v>5</v>
      </c>
      <c r="AA877" s="453" t="s">
        <v>30</v>
      </c>
      <c r="AB877" s="542" t="s">
        <v>243</v>
      </c>
      <c r="AC877" s="473"/>
      <c r="AD877" s="672">
        <f>AD878</f>
        <v>593.1</v>
      </c>
      <c r="AE877" s="634">
        <f t="shared" ref="AE877:AF881" si="262">AE878</f>
        <v>0</v>
      </c>
      <c r="AF877" s="645">
        <f t="shared" si="262"/>
        <v>0</v>
      </c>
      <c r="AG877" s="3"/>
      <c r="AH877" s="3"/>
    </row>
    <row r="878" spans="1:34" ht="31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R878" s="3"/>
      <c r="S878" s="3"/>
      <c r="W878" s="3"/>
      <c r="X878" s="457" t="s">
        <v>540</v>
      </c>
      <c r="Y878" s="452" t="s">
        <v>416</v>
      </c>
      <c r="Z878" s="453" t="s">
        <v>5</v>
      </c>
      <c r="AA878" s="453" t="s">
        <v>30</v>
      </c>
      <c r="AB878" s="542" t="s">
        <v>244</v>
      </c>
      <c r="AC878" s="473"/>
      <c r="AD878" s="672">
        <f>AD879</f>
        <v>593.1</v>
      </c>
      <c r="AE878" s="634">
        <f t="shared" si="262"/>
        <v>0</v>
      </c>
      <c r="AF878" s="645">
        <f t="shared" si="262"/>
        <v>0</v>
      </c>
      <c r="AG878" s="3"/>
      <c r="AH878" s="3"/>
    </row>
    <row r="879" spans="1:34" ht="31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R879" s="3"/>
      <c r="S879" s="3"/>
      <c r="W879" s="3"/>
      <c r="X879" s="466" t="s">
        <v>541</v>
      </c>
      <c r="Y879" s="452" t="s">
        <v>416</v>
      </c>
      <c r="Z879" s="453" t="s">
        <v>5</v>
      </c>
      <c r="AA879" s="453" t="s">
        <v>30</v>
      </c>
      <c r="AB879" s="542" t="s">
        <v>245</v>
      </c>
      <c r="AC879" s="473"/>
      <c r="AD879" s="672">
        <f>AD880</f>
        <v>593.1</v>
      </c>
      <c r="AE879" s="634">
        <f>AE880</f>
        <v>0</v>
      </c>
      <c r="AF879" s="645">
        <f>AF880</f>
        <v>0</v>
      </c>
      <c r="AG879" s="3"/>
      <c r="AH879" s="3"/>
    </row>
    <row r="880" spans="1:34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R880" s="3"/>
      <c r="S880" s="3"/>
      <c r="W880" s="3"/>
      <c r="X880" s="451" t="s">
        <v>642</v>
      </c>
      <c r="Y880" s="452" t="s">
        <v>416</v>
      </c>
      <c r="Z880" s="453" t="s">
        <v>5</v>
      </c>
      <c r="AA880" s="453" t="s">
        <v>30</v>
      </c>
      <c r="AB880" s="542" t="s">
        <v>643</v>
      </c>
      <c r="AC880" s="473"/>
      <c r="AD880" s="672">
        <f>AD881</f>
        <v>593.1</v>
      </c>
      <c r="AE880" s="634">
        <f t="shared" si="262"/>
        <v>0</v>
      </c>
      <c r="AF880" s="645">
        <f t="shared" si="262"/>
        <v>0</v>
      </c>
      <c r="AG880" s="3"/>
      <c r="AH880" s="3"/>
    </row>
    <row r="881" spans="1:34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R881" s="3"/>
      <c r="S881" s="3"/>
      <c r="W881" s="3"/>
      <c r="X881" s="451" t="s">
        <v>120</v>
      </c>
      <c r="Y881" s="452" t="s">
        <v>416</v>
      </c>
      <c r="Z881" s="453" t="s">
        <v>5</v>
      </c>
      <c r="AA881" s="453" t="s">
        <v>30</v>
      </c>
      <c r="AB881" s="542" t="s">
        <v>643</v>
      </c>
      <c r="AC881" s="473" t="s">
        <v>37</v>
      </c>
      <c r="AD881" s="672">
        <f>AD882</f>
        <v>593.1</v>
      </c>
      <c r="AE881" s="634">
        <f t="shared" si="262"/>
        <v>0</v>
      </c>
      <c r="AF881" s="645">
        <f t="shared" si="262"/>
        <v>0</v>
      </c>
      <c r="AG881" s="3"/>
      <c r="AH881" s="3"/>
    </row>
    <row r="882" spans="1:34" ht="31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R882" s="3"/>
      <c r="S882" s="3"/>
      <c r="W882" s="3"/>
      <c r="X882" s="451" t="s">
        <v>52</v>
      </c>
      <c r="Y882" s="452" t="s">
        <v>416</v>
      </c>
      <c r="Z882" s="453" t="s">
        <v>5</v>
      </c>
      <c r="AA882" s="453" t="s">
        <v>30</v>
      </c>
      <c r="AB882" s="542" t="s">
        <v>643</v>
      </c>
      <c r="AC882" s="473" t="s">
        <v>65</v>
      </c>
      <c r="AD882" s="672">
        <f>485.1+108</f>
        <v>593.1</v>
      </c>
      <c r="AE882" s="634">
        <v>0</v>
      </c>
      <c r="AF882" s="645">
        <v>0</v>
      </c>
      <c r="AG882" s="3"/>
      <c r="AH882" s="3"/>
    </row>
    <row r="883" spans="1:3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R883" s="3"/>
      <c r="S883" s="3"/>
      <c r="W883" s="3"/>
      <c r="X883" s="451" t="s">
        <v>18</v>
      </c>
      <c r="Y883" s="452" t="s">
        <v>416</v>
      </c>
      <c r="Z883" s="453" t="s">
        <v>5</v>
      </c>
      <c r="AA883" s="453" t="s">
        <v>7</v>
      </c>
      <c r="AB883" s="541"/>
      <c r="AC883" s="473"/>
      <c r="AD883" s="672">
        <f>AD884</f>
        <v>567720.30000000005</v>
      </c>
      <c r="AE883" s="634">
        <f>AE884</f>
        <v>135565.80000000002</v>
      </c>
      <c r="AF883" s="645">
        <f>AF884</f>
        <v>384937.2</v>
      </c>
      <c r="AG883" s="3"/>
      <c r="AH883" s="3"/>
    </row>
    <row r="884" spans="1:34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R884" s="3"/>
      <c r="S884" s="3"/>
      <c r="W884" s="3"/>
      <c r="X884" s="457" t="s">
        <v>242</v>
      </c>
      <c r="Y884" s="452" t="s">
        <v>416</v>
      </c>
      <c r="Z884" s="453" t="s">
        <v>5</v>
      </c>
      <c r="AA884" s="453" t="s">
        <v>7</v>
      </c>
      <c r="AB884" s="542" t="s">
        <v>243</v>
      </c>
      <c r="AC884" s="473"/>
      <c r="AD884" s="672">
        <f>AD909+AD885</f>
        <v>567720.30000000005</v>
      </c>
      <c r="AE884" s="634">
        <f>AE909+AE885</f>
        <v>135565.80000000002</v>
      </c>
      <c r="AF884" s="645">
        <f>AF909+AF885</f>
        <v>384937.2</v>
      </c>
      <c r="AG884" s="3"/>
      <c r="AH884" s="3"/>
    </row>
    <row r="885" spans="1:34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R885" s="3"/>
      <c r="S885" s="3"/>
      <c r="W885" s="3"/>
      <c r="X885" s="457" t="s">
        <v>370</v>
      </c>
      <c r="Y885" s="452" t="s">
        <v>416</v>
      </c>
      <c r="Z885" s="453" t="s">
        <v>5</v>
      </c>
      <c r="AA885" s="453" t="s">
        <v>7</v>
      </c>
      <c r="AB885" s="542" t="s">
        <v>371</v>
      </c>
      <c r="AC885" s="473"/>
      <c r="AD885" s="672">
        <f>AD886+AD899</f>
        <v>434803</v>
      </c>
      <c r="AE885" s="634">
        <f>AE886+AE899</f>
        <v>16969.400000000001</v>
      </c>
      <c r="AF885" s="645">
        <f>AF886+AF899</f>
        <v>242420</v>
      </c>
      <c r="AG885" s="3"/>
      <c r="AH885" s="3"/>
    </row>
    <row r="886" spans="1:34" ht="31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R886" s="3"/>
      <c r="S886" s="3"/>
      <c r="W886" s="3"/>
      <c r="X886" s="457" t="s">
        <v>394</v>
      </c>
      <c r="Y886" s="452" t="s">
        <v>416</v>
      </c>
      <c r="Z886" s="453" t="s">
        <v>5</v>
      </c>
      <c r="AA886" s="453" t="s">
        <v>7</v>
      </c>
      <c r="AB886" s="542" t="s">
        <v>395</v>
      </c>
      <c r="AC886" s="473"/>
      <c r="AD886" s="672">
        <f>AD896+AD893+AD887+AD890</f>
        <v>262345.90000000002</v>
      </c>
      <c r="AE886" s="672">
        <f t="shared" ref="AE886:AF886" si="263">AE896+AE893+AE887+AE890</f>
        <v>0</v>
      </c>
      <c r="AF886" s="672">
        <f t="shared" si="263"/>
        <v>0</v>
      </c>
      <c r="AG886" s="3"/>
      <c r="AH886" s="3"/>
    </row>
    <row r="887" spans="1:34" ht="41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R887" s="3"/>
      <c r="S887" s="3"/>
      <c r="W887" s="3"/>
      <c r="X887" s="457" t="s">
        <v>811</v>
      </c>
      <c r="Y887" s="452" t="s">
        <v>416</v>
      </c>
      <c r="Z887" s="453" t="s">
        <v>5</v>
      </c>
      <c r="AA887" s="453" t="s">
        <v>7</v>
      </c>
      <c r="AB887" s="542" t="s">
        <v>812</v>
      </c>
      <c r="AC887" s="473"/>
      <c r="AD887" s="672">
        <f>AD888</f>
        <v>12113.7</v>
      </c>
      <c r="AE887" s="672">
        <f t="shared" ref="AE887:AF887" si="264">AE888</f>
        <v>0</v>
      </c>
      <c r="AF887" s="672">
        <f t="shared" si="264"/>
        <v>0</v>
      </c>
      <c r="AG887" s="3"/>
      <c r="AH887" s="3"/>
    </row>
    <row r="888" spans="1:34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R888" s="3"/>
      <c r="S888" s="3"/>
      <c r="W888" s="3"/>
      <c r="X888" s="451" t="s">
        <v>120</v>
      </c>
      <c r="Y888" s="452" t="s">
        <v>416</v>
      </c>
      <c r="Z888" s="453" t="s">
        <v>5</v>
      </c>
      <c r="AA888" s="453" t="s">
        <v>7</v>
      </c>
      <c r="AB888" s="542" t="s">
        <v>812</v>
      </c>
      <c r="AC888" s="473" t="s">
        <v>37</v>
      </c>
      <c r="AD888" s="672">
        <f>AD889</f>
        <v>12113.7</v>
      </c>
      <c r="AE888" s="672">
        <f t="shared" ref="AE888:AF888" si="265">AE889</f>
        <v>0</v>
      </c>
      <c r="AF888" s="672">
        <f t="shared" si="265"/>
        <v>0</v>
      </c>
      <c r="AG888" s="3"/>
      <c r="AH888" s="3"/>
    </row>
    <row r="889" spans="1:34" ht="31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R889" s="3"/>
      <c r="S889" s="3"/>
      <c r="W889" s="3"/>
      <c r="X889" s="451" t="s">
        <v>52</v>
      </c>
      <c r="Y889" s="452" t="s">
        <v>416</v>
      </c>
      <c r="Z889" s="453" t="s">
        <v>5</v>
      </c>
      <c r="AA889" s="453" t="s">
        <v>7</v>
      </c>
      <c r="AB889" s="542" t="s">
        <v>812</v>
      </c>
      <c r="AC889" s="473" t="s">
        <v>65</v>
      </c>
      <c r="AD889" s="672">
        <f>12113.7</f>
        <v>12113.7</v>
      </c>
      <c r="AE889" s="672">
        <v>0</v>
      </c>
      <c r="AF889" s="710">
        <v>0</v>
      </c>
      <c r="AG889" s="3"/>
      <c r="AH889" s="3"/>
    </row>
    <row r="890" spans="1:34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R890" s="3"/>
      <c r="S890" s="3"/>
      <c r="W890" s="3"/>
      <c r="X890" s="451" t="s">
        <v>833</v>
      </c>
      <c r="Y890" s="452" t="s">
        <v>416</v>
      </c>
      <c r="Z890" s="453" t="s">
        <v>5</v>
      </c>
      <c r="AA890" s="453" t="s">
        <v>7</v>
      </c>
      <c r="AB890" s="542" t="s">
        <v>834</v>
      </c>
      <c r="AC890" s="454"/>
      <c r="AD890" s="672">
        <f>AD891</f>
        <v>14734.3</v>
      </c>
      <c r="AE890" s="672">
        <f t="shared" ref="AE890:AF890" si="266">AE891</f>
        <v>0</v>
      </c>
      <c r="AF890" s="672">
        <f t="shared" si="266"/>
        <v>0</v>
      </c>
      <c r="AG890" s="3"/>
      <c r="AH890" s="3"/>
    </row>
    <row r="891" spans="1:34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R891" s="3"/>
      <c r="S891" s="3"/>
      <c r="W891" s="3"/>
      <c r="X891" s="451" t="s">
        <v>120</v>
      </c>
      <c r="Y891" s="452" t="s">
        <v>416</v>
      </c>
      <c r="Z891" s="453" t="s">
        <v>5</v>
      </c>
      <c r="AA891" s="453" t="s">
        <v>7</v>
      </c>
      <c r="AB891" s="542" t="s">
        <v>834</v>
      </c>
      <c r="AC891" s="482">
        <v>200</v>
      </c>
      <c r="AD891" s="672">
        <f>AD892</f>
        <v>14734.3</v>
      </c>
      <c r="AE891" s="672">
        <f t="shared" ref="AE891:AF891" si="267">AE892</f>
        <v>0</v>
      </c>
      <c r="AF891" s="672">
        <f t="shared" si="267"/>
        <v>0</v>
      </c>
      <c r="AG891" s="3"/>
      <c r="AH891" s="3"/>
    </row>
    <row r="892" spans="1:34" ht="31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R892" s="3"/>
      <c r="S892" s="3"/>
      <c r="W892" s="3"/>
      <c r="X892" s="451" t="s">
        <v>52</v>
      </c>
      <c r="Y892" s="452" t="s">
        <v>416</v>
      </c>
      <c r="Z892" s="453" t="s">
        <v>5</v>
      </c>
      <c r="AA892" s="453" t="s">
        <v>7</v>
      </c>
      <c r="AB892" s="542" t="s">
        <v>834</v>
      </c>
      <c r="AC892" s="454">
        <v>240</v>
      </c>
      <c r="AD892" s="672">
        <v>14734.3</v>
      </c>
      <c r="AE892" s="672">
        <v>0</v>
      </c>
      <c r="AF892" s="710">
        <v>0</v>
      </c>
      <c r="AG892" s="3"/>
      <c r="AH892" s="3"/>
    </row>
    <row r="893" spans="1:34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R893" s="3"/>
      <c r="S893" s="3"/>
      <c r="W893" s="3"/>
      <c r="X893" s="451" t="s">
        <v>756</v>
      </c>
      <c r="Y893" s="452" t="s">
        <v>416</v>
      </c>
      <c r="Z893" s="453" t="s">
        <v>5</v>
      </c>
      <c r="AA893" s="453" t="s">
        <v>7</v>
      </c>
      <c r="AB893" s="542" t="s">
        <v>757</v>
      </c>
      <c r="AC893" s="473"/>
      <c r="AD893" s="672">
        <f>AD894</f>
        <v>30471.4</v>
      </c>
      <c r="AE893" s="634">
        <f t="shared" ref="AE893:AF893" si="268">AE894</f>
        <v>0</v>
      </c>
      <c r="AF893" s="645">
        <f t="shared" si="268"/>
        <v>0</v>
      </c>
      <c r="AG893" s="3"/>
      <c r="AH893" s="3"/>
    </row>
    <row r="894" spans="1:34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R894" s="3"/>
      <c r="S894" s="3"/>
      <c r="W894" s="3"/>
      <c r="X894" s="451" t="s">
        <v>120</v>
      </c>
      <c r="Y894" s="452" t="s">
        <v>416</v>
      </c>
      <c r="Z894" s="453" t="s">
        <v>5</v>
      </c>
      <c r="AA894" s="453" t="s">
        <v>7</v>
      </c>
      <c r="AB894" s="542" t="s">
        <v>757</v>
      </c>
      <c r="AC894" s="473" t="s">
        <v>37</v>
      </c>
      <c r="AD894" s="672">
        <f>AD895</f>
        <v>30471.4</v>
      </c>
      <c r="AE894" s="634">
        <f t="shared" ref="AE894:AF894" si="269">AE895</f>
        <v>0</v>
      </c>
      <c r="AF894" s="645">
        <f t="shared" si="269"/>
        <v>0</v>
      </c>
      <c r="AG894" s="3"/>
      <c r="AH894" s="3"/>
    </row>
    <row r="895" spans="1:34" ht="19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R895" s="3"/>
      <c r="S895" s="3"/>
      <c r="W895" s="3"/>
      <c r="X895" s="451" t="s">
        <v>52</v>
      </c>
      <c r="Y895" s="452" t="s">
        <v>416</v>
      </c>
      <c r="Z895" s="453" t="s">
        <v>5</v>
      </c>
      <c r="AA895" s="453" t="s">
        <v>7</v>
      </c>
      <c r="AB895" s="542" t="s">
        <v>757</v>
      </c>
      <c r="AC895" s="473" t="s">
        <v>65</v>
      </c>
      <c r="AD895" s="672">
        <f>5+30466.4</f>
        <v>30471.4</v>
      </c>
      <c r="AE895" s="634">
        <v>0</v>
      </c>
      <c r="AF895" s="645">
        <v>0</v>
      </c>
      <c r="AG895" s="3"/>
      <c r="AH895" s="3"/>
    </row>
    <row r="896" spans="1:34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R896" s="3"/>
      <c r="S896" s="3"/>
      <c r="W896" s="3"/>
      <c r="X896" s="451" t="s">
        <v>397</v>
      </c>
      <c r="Y896" s="452" t="s">
        <v>416</v>
      </c>
      <c r="Z896" s="453" t="s">
        <v>5</v>
      </c>
      <c r="AA896" s="453" t="s">
        <v>7</v>
      </c>
      <c r="AB896" s="542" t="s">
        <v>398</v>
      </c>
      <c r="AC896" s="473"/>
      <c r="AD896" s="672">
        <f t="shared" ref="AD896:AF897" si="270">AD897</f>
        <v>205026.5</v>
      </c>
      <c r="AE896" s="634">
        <f t="shared" si="270"/>
        <v>0</v>
      </c>
      <c r="AF896" s="645">
        <f t="shared" si="270"/>
        <v>0</v>
      </c>
      <c r="AG896" s="3"/>
      <c r="AH896" s="3"/>
    </row>
    <row r="897" spans="1:3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W897" s="3"/>
      <c r="X897" s="451" t="s">
        <v>120</v>
      </c>
      <c r="Y897" s="452" t="s">
        <v>416</v>
      </c>
      <c r="Z897" s="453" t="s">
        <v>5</v>
      </c>
      <c r="AA897" s="453" t="s">
        <v>7</v>
      </c>
      <c r="AB897" s="542" t="s">
        <v>398</v>
      </c>
      <c r="AC897" s="473" t="s">
        <v>37</v>
      </c>
      <c r="AD897" s="672">
        <f t="shared" si="270"/>
        <v>205026.5</v>
      </c>
      <c r="AE897" s="634">
        <f t="shared" si="270"/>
        <v>0</v>
      </c>
      <c r="AF897" s="645">
        <f t="shared" si="270"/>
        <v>0</v>
      </c>
      <c r="AG897" s="3"/>
      <c r="AH897" s="3"/>
    </row>
    <row r="898" spans="1:34" ht="31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W898" s="3"/>
      <c r="X898" s="451" t="s">
        <v>52</v>
      </c>
      <c r="Y898" s="452" t="s">
        <v>416</v>
      </c>
      <c r="Z898" s="453" t="s">
        <v>5</v>
      </c>
      <c r="AA898" s="453" t="s">
        <v>7</v>
      </c>
      <c r="AB898" s="542" t="s">
        <v>398</v>
      </c>
      <c r="AC898" s="473" t="s">
        <v>65</v>
      </c>
      <c r="AD898" s="672">
        <f>193273.6+39026.4-4444.1-22008.7-137.9-682.8</f>
        <v>205026.5</v>
      </c>
      <c r="AE898" s="634">
        <v>0</v>
      </c>
      <c r="AF898" s="645">
        <v>0</v>
      </c>
      <c r="AG898" s="3"/>
      <c r="AH898" s="3"/>
    </row>
    <row r="899" spans="1:3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W899" s="3"/>
      <c r="X899" s="466" t="s">
        <v>650</v>
      </c>
      <c r="Y899" s="452" t="s">
        <v>416</v>
      </c>
      <c r="Z899" s="453" t="s">
        <v>5</v>
      </c>
      <c r="AA899" s="453" t="s">
        <v>7</v>
      </c>
      <c r="AB899" s="409" t="s">
        <v>651</v>
      </c>
      <c r="AC899" s="473"/>
      <c r="AD899" s="672">
        <f>AD903+AD906+AD900</f>
        <v>172457.1</v>
      </c>
      <c r="AE899" s="672">
        <f t="shared" ref="AE899:AF899" si="271">AE903+AE906+AE900</f>
        <v>16969.400000000001</v>
      </c>
      <c r="AF899" s="672">
        <f t="shared" si="271"/>
        <v>242420</v>
      </c>
      <c r="AG899" s="3"/>
      <c r="AH899" s="3"/>
    </row>
    <row r="900" spans="1:34" ht="66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W900" s="3"/>
      <c r="X900" s="466" t="s">
        <v>792</v>
      </c>
      <c r="Y900" s="452" t="s">
        <v>416</v>
      </c>
      <c r="Z900" s="453" t="s">
        <v>5</v>
      </c>
      <c r="AA900" s="453" t="s">
        <v>7</v>
      </c>
      <c r="AB900" s="409" t="s">
        <v>793</v>
      </c>
      <c r="AC900" s="473"/>
      <c r="AD900" s="672">
        <f t="shared" ref="AD900:AF901" si="272">AD901</f>
        <v>30382</v>
      </c>
      <c r="AE900" s="634">
        <f t="shared" si="272"/>
        <v>0</v>
      </c>
      <c r="AF900" s="634">
        <f t="shared" si="272"/>
        <v>0</v>
      </c>
      <c r="AG900" s="3"/>
      <c r="AH900" s="3"/>
    </row>
    <row r="901" spans="1:3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R901" s="3"/>
      <c r="S901" s="3"/>
      <c r="W901" s="3"/>
      <c r="X901" s="451" t="s">
        <v>120</v>
      </c>
      <c r="Y901" s="452" t="s">
        <v>416</v>
      </c>
      <c r="Z901" s="453" t="s">
        <v>5</v>
      </c>
      <c r="AA901" s="453" t="s">
        <v>7</v>
      </c>
      <c r="AB901" s="409" t="s">
        <v>793</v>
      </c>
      <c r="AC901" s="473" t="s">
        <v>37</v>
      </c>
      <c r="AD901" s="672">
        <f t="shared" si="272"/>
        <v>30382</v>
      </c>
      <c r="AE901" s="634">
        <f t="shared" si="272"/>
        <v>0</v>
      </c>
      <c r="AF901" s="634">
        <f t="shared" si="272"/>
        <v>0</v>
      </c>
      <c r="AG901" s="3"/>
      <c r="AH901" s="3"/>
    </row>
    <row r="902" spans="1:34" ht="31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R902" s="3"/>
      <c r="S902" s="3"/>
      <c r="W902" s="3"/>
      <c r="X902" s="451" t="s">
        <v>52</v>
      </c>
      <c r="Y902" s="452" t="s">
        <v>416</v>
      </c>
      <c r="Z902" s="453" t="s">
        <v>5</v>
      </c>
      <c r="AA902" s="453" t="s">
        <v>7</v>
      </c>
      <c r="AB902" s="409" t="s">
        <v>793</v>
      </c>
      <c r="AC902" s="473" t="s">
        <v>65</v>
      </c>
      <c r="AD902" s="672">
        <f>30382+11026.4-11026.4</f>
        <v>30382</v>
      </c>
      <c r="AE902" s="634">
        <v>0</v>
      </c>
      <c r="AF902" s="645">
        <v>0</v>
      </c>
      <c r="AG902" s="3"/>
      <c r="AH902" s="3"/>
    </row>
    <row r="903" spans="1:34" ht="47.2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W903" s="3"/>
      <c r="X903" s="523" t="s">
        <v>649</v>
      </c>
      <c r="Y903" s="452" t="s">
        <v>416</v>
      </c>
      <c r="Z903" s="453" t="s">
        <v>5</v>
      </c>
      <c r="AA903" s="453" t="s">
        <v>7</v>
      </c>
      <c r="AB903" s="409" t="s">
        <v>652</v>
      </c>
      <c r="AC903" s="473"/>
      <c r="AD903" s="672">
        <f t="shared" ref="AD903:AF907" si="273">AD904</f>
        <v>142075.1</v>
      </c>
      <c r="AE903" s="634">
        <f t="shared" si="273"/>
        <v>0</v>
      </c>
      <c r="AF903" s="645">
        <f t="shared" si="273"/>
        <v>0</v>
      </c>
      <c r="AG903" s="3"/>
      <c r="AH903" s="3"/>
    </row>
    <row r="904" spans="1:34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W904" s="3"/>
      <c r="X904" s="451" t="s">
        <v>120</v>
      </c>
      <c r="Y904" s="452" t="s">
        <v>416</v>
      </c>
      <c r="Z904" s="453" t="s">
        <v>5</v>
      </c>
      <c r="AA904" s="453" t="s">
        <v>7</v>
      </c>
      <c r="AB904" s="409" t="s">
        <v>652</v>
      </c>
      <c r="AC904" s="473" t="s">
        <v>37</v>
      </c>
      <c r="AD904" s="672">
        <f t="shared" si="273"/>
        <v>142075.1</v>
      </c>
      <c r="AE904" s="634">
        <f t="shared" si="273"/>
        <v>0</v>
      </c>
      <c r="AF904" s="645">
        <f t="shared" si="273"/>
        <v>0</v>
      </c>
      <c r="AG904" s="3"/>
      <c r="AH904" s="3"/>
    </row>
    <row r="905" spans="1:34" ht="31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W905" s="3"/>
      <c r="X905" s="451" t="s">
        <v>52</v>
      </c>
      <c r="Y905" s="452" t="s">
        <v>416</v>
      </c>
      <c r="Z905" s="453" t="s">
        <v>5</v>
      </c>
      <c r="AA905" s="453" t="s">
        <v>7</v>
      </c>
      <c r="AB905" s="409" t="s">
        <v>652</v>
      </c>
      <c r="AC905" s="473" t="s">
        <v>65</v>
      </c>
      <c r="AD905" s="672">
        <f>92572.4+20183.3+24071.2+5248.2</f>
        <v>142075.1</v>
      </c>
      <c r="AE905" s="634">
        <v>0</v>
      </c>
      <c r="AF905" s="645">
        <v>0</v>
      </c>
      <c r="AG905" s="3"/>
      <c r="AH905" s="3"/>
    </row>
    <row r="906" spans="1:34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W906" s="3"/>
      <c r="X906" s="451" t="s">
        <v>622</v>
      </c>
      <c r="Y906" s="452" t="s">
        <v>416</v>
      </c>
      <c r="Z906" s="453" t="s">
        <v>5</v>
      </c>
      <c r="AA906" s="453" t="s">
        <v>7</v>
      </c>
      <c r="AB906" s="409" t="s">
        <v>655</v>
      </c>
      <c r="AC906" s="473"/>
      <c r="AD906" s="672">
        <f>AD907</f>
        <v>0</v>
      </c>
      <c r="AE906" s="634">
        <f t="shared" si="273"/>
        <v>16969.400000000001</v>
      </c>
      <c r="AF906" s="645">
        <f>AF907</f>
        <v>242420</v>
      </c>
      <c r="AG906" s="3"/>
      <c r="AH906" s="3"/>
    </row>
    <row r="907" spans="1:34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W907" s="3"/>
      <c r="X907" s="451" t="s">
        <v>120</v>
      </c>
      <c r="Y907" s="452" t="s">
        <v>416</v>
      </c>
      <c r="Z907" s="453" t="s">
        <v>5</v>
      </c>
      <c r="AA907" s="453" t="s">
        <v>7</v>
      </c>
      <c r="AB907" s="409" t="s">
        <v>655</v>
      </c>
      <c r="AC907" s="473" t="s">
        <v>37</v>
      </c>
      <c r="AD907" s="672">
        <f>AD908</f>
        <v>0</v>
      </c>
      <c r="AE907" s="634">
        <f t="shared" si="273"/>
        <v>16969.400000000001</v>
      </c>
      <c r="AF907" s="645">
        <f>AF908</f>
        <v>242420</v>
      </c>
      <c r="AG907" s="3"/>
      <c r="AH907" s="3"/>
    </row>
    <row r="908" spans="1:34" ht="31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W908" s="3"/>
      <c r="X908" s="451" t="s">
        <v>52</v>
      </c>
      <c r="Y908" s="452" t="s">
        <v>416</v>
      </c>
      <c r="Z908" s="453" t="s">
        <v>5</v>
      </c>
      <c r="AA908" s="453" t="s">
        <v>7</v>
      </c>
      <c r="AB908" s="409" t="s">
        <v>655</v>
      </c>
      <c r="AC908" s="473" t="s">
        <v>65</v>
      </c>
      <c r="AD908" s="672">
        <v>0</v>
      </c>
      <c r="AE908" s="634">
        <f>13931.9+3037.5</f>
        <v>16969.400000000001</v>
      </c>
      <c r="AF908" s="645">
        <f>199026.8+43393.2</f>
        <v>242420</v>
      </c>
      <c r="AG908" s="3"/>
      <c r="AH908" s="3"/>
    </row>
    <row r="909" spans="1:34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W909" s="3"/>
      <c r="X909" s="457" t="s">
        <v>540</v>
      </c>
      <c r="Y909" s="452" t="s">
        <v>416</v>
      </c>
      <c r="Z909" s="453" t="s">
        <v>5</v>
      </c>
      <c r="AA909" s="453" t="s">
        <v>7</v>
      </c>
      <c r="AB909" s="542" t="s">
        <v>244</v>
      </c>
      <c r="AC909" s="473"/>
      <c r="AD909" s="672">
        <f>AD910+AD929</f>
        <v>132917.29999999999</v>
      </c>
      <c r="AE909" s="672">
        <f>AE910+AE929</f>
        <v>118596.40000000001</v>
      </c>
      <c r="AF909" s="672">
        <f>AF910+AF929</f>
        <v>142517.20000000001</v>
      </c>
      <c r="AG909" s="3"/>
      <c r="AH909" s="3"/>
    </row>
    <row r="910" spans="1:34" ht="31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W910" s="3"/>
      <c r="X910" s="466" t="s">
        <v>541</v>
      </c>
      <c r="Y910" s="452" t="s">
        <v>416</v>
      </c>
      <c r="Z910" s="453" t="s">
        <v>5</v>
      </c>
      <c r="AA910" s="453" t="s">
        <v>7</v>
      </c>
      <c r="AB910" s="542" t="s">
        <v>245</v>
      </c>
      <c r="AC910" s="454"/>
      <c r="AD910" s="672">
        <f>AD914+AD917+AD926+AD923+AD920+AD911</f>
        <v>94338.2</v>
      </c>
      <c r="AE910" s="672">
        <f t="shared" ref="AE910:AF910" si="274">AE914+AE917+AE926+AE923+AE920+AE911</f>
        <v>78474.100000000006</v>
      </c>
      <c r="AF910" s="672">
        <f t="shared" si="274"/>
        <v>100789.9</v>
      </c>
      <c r="AG910" s="3"/>
      <c r="AH910" s="3"/>
    </row>
    <row r="911" spans="1:3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W911" s="3"/>
      <c r="X911" s="466" t="s">
        <v>781</v>
      </c>
      <c r="Y911" s="452" t="s">
        <v>416</v>
      </c>
      <c r="Z911" s="453" t="s">
        <v>5</v>
      </c>
      <c r="AA911" s="453" t="s">
        <v>7</v>
      </c>
      <c r="AB911" s="542" t="s">
        <v>782</v>
      </c>
      <c r="AC911" s="454"/>
      <c r="AD911" s="672">
        <f>AD912</f>
        <v>28849.7</v>
      </c>
      <c r="AE911" s="634">
        <f t="shared" ref="AE911:AF912" si="275">AE912</f>
        <v>0</v>
      </c>
      <c r="AF911" s="645">
        <f t="shared" si="275"/>
        <v>0</v>
      </c>
      <c r="AG911" s="3"/>
      <c r="AH911" s="3"/>
    </row>
    <row r="912" spans="1:34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W912" s="3"/>
      <c r="X912" s="451" t="s">
        <v>120</v>
      </c>
      <c r="Y912" s="452" t="s">
        <v>416</v>
      </c>
      <c r="Z912" s="453" t="s">
        <v>5</v>
      </c>
      <c r="AA912" s="453" t="s">
        <v>7</v>
      </c>
      <c r="AB912" s="542" t="s">
        <v>782</v>
      </c>
      <c r="AC912" s="473" t="s">
        <v>37</v>
      </c>
      <c r="AD912" s="672">
        <f>AD913</f>
        <v>28849.7</v>
      </c>
      <c r="AE912" s="634">
        <f t="shared" si="275"/>
        <v>0</v>
      </c>
      <c r="AF912" s="645">
        <f t="shared" si="275"/>
        <v>0</v>
      </c>
      <c r="AG912" s="3"/>
      <c r="AH912" s="3"/>
    </row>
    <row r="913" spans="1:34" ht="24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R913" s="3"/>
      <c r="S913" s="3"/>
      <c r="W913" s="3"/>
      <c r="X913" s="451" t="s">
        <v>52</v>
      </c>
      <c r="Y913" s="452" t="s">
        <v>416</v>
      </c>
      <c r="Z913" s="453" t="s">
        <v>5</v>
      </c>
      <c r="AA913" s="453" t="s">
        <v>7</v>
      </c>
      <c r="AB913" s="542" t="s">
        <v>782</v>
      </c>
      <c r="AC913" s="473" t="s">
        <v>65</v>
      </c>
      <c r="AD913" s="672">
        <f>1500-0.1-0.2+13050+14300</f>
        <v>28849.7</v>
      </c>
      <c r="AE913" s="634">
        <v>0</v>
      </c>
      <c r="AF913" s="645">
        <v>0</v>
      </c>
      <c r="AG913" s="3"/>
      <c r="AH913" s="3"/>
    </row>
    <row r="914" spans="1:34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R914" s="3"/>
      <c r="S914" s="3"/>
      <c r="W914" s="3"/>
      <c r="X914" s="663" t="s">
        <v>578</v>
      </c>
      <c r="Y914" s="452" t="s">
        <v>416</v>
      </c>
      <c r="Z914" s="453" t="s">
        <v>5</v>
      </c>
      <c r="AA914" s="453" t="s">
        <v>7</v>
      </c>
      <c r="AB914" s="542" t="s">
        <v>577</v>
      </c>
      <c r="AC914" s="454"/>
      <c r="AD914" s="672">
        <f t="shared" ref="AD914:AF915" si="276">AD915</f>
        <v>0</v>
      </c>
      <c r="AE914" s="634">
        <f t="shared" si="276"/>
        <v>20463</v>
      </c>
      <c r="AF914" s="645">
        <f t="shared" si="276"/>
        <v>32860.699999999997</v>
      </c>
      <c r="AG914" s="3"/>
      <c r="AH914" s="3"/>
    </row>
    <row r="915" spans="1:34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R915" s="3"/>
      <c r="S915" s="3"/>
      <c r="W915" s="3"/>
      <c r="X915" s="451" t="s">
        <v>120</v>
      </c>
      <c r="Y915" s="452" t="s">
        <v>416</v>
      </c>
      <c r="Z915" s="453" t="s">
        <v>5</v>
      </c>
      <c r="AA915" s="453" t="s">
        <v>7</v>
      </c>
      <c r="AB915" s="542" t="s">
        <v>577</v>
      </c>
      <c r="AC915" s="482">
        <v>200</v>
      </c>
      <c r="AD915" s="672">
        <f t="shared" si="276"/>
        <v>0</v>
      </c>
      <c r="AE915" s="634">
        <f t="shared" si="276"/>
        <v>20463</v>
      </c>
      <c r="AF915" s="645">
        <f t="shared" si="276"/>
        <v>32860.699999999997</v>
      </c>
      <c r="AH915" s="3"/>
    </row>
    <row r="916" spans="1:34" ht="31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R916" s="3"/>
      <c r="S916" s="3"/>
      <c r="W916" s="3"/>
      <c r="X916" s="451" t="s">
        <v>52</v>
      </c>
      <c r="Y916" s="452" t="s">
        <v>416</v>
      </c>
      <c r="Z916" s="453" t="s">
        <v>5</v>
      </c>
      <c r="AA916" s="453" t="s">
        <v>7</v>
      </c>
      <c r="AB916" s="542" t="s">
        <v>577</v>
      </c>
      <c r="AC916" s="454">
        <v>240</v>
      </c>
      <c r="AD916" s="672">
        <v>0</v>
      </c>
      <c r="AE916" s="634">
        <f>31597-0.3-11133.7</f>
        <v>20463</v>
      </c>
      <c r="AF916" s="645">
        <f>32861-0.3</f>
        <v>32860.699999999997</v>
      </c>
      <c r="AG916" s="264"/>
      <c r="AH916" s="3"/>
    </row>
    <row r="917" spans="1:34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R917" s="3"/>
      <c r="S917" s="3"/>
      <c r="W917" s="3"/>
      <c r="X917" s="451" t="s">
        <v>434</v>
      </c>
      <c r="Y917" s="452" t="s">
        <v>416</v>
      </c>
      <c r="Z917" s="453" t="s">
        <v>5</v>
      </c>
      <c r="AA917" s="453" t="s">
        <v>7</v>
      </c>
      <c r="AB917" s="542" t="s">
        <v>402</v>
      </c>
      <c r="AC917" s="454"/>
      <c r="AD917" s="672">
        <f t="shared" ref="AD917:AF918" si="277">AD918</f>
        <v>31593.3</v>
      </c>
      <c r="AE917" s="634">
        <f t="shared" si="277"/>
        <v>22760.1</v>
      </c>
      <c r="AF917" s="645">
        <f t="shared" si="277"/>
        <v>31269.200000000001</v>
      </c>
      <c r="AG917" s="263"/>
      <c r="AH917" s="3"/>
    </row>
    <row r="918" spans="1:34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R918" s="3"/>
      <c r="S918" s="3"/>
      <c r="W918" s="3"/>
      <c r="X918" s="451" t="s">
        <v>120</v>
      </c>
      <c r="Y918" s="452" t="s">
        <v>416</v>
      </c>
      <c r="Z918" s="453" t="s">
        <v>5</v>
      </c>
      <c r="AA918" s="453" t="s">
        <v>7</v>
      </c>
      <c r="AB918" s="542" t="s">
        <v>402</v>
      </c>
      <c r="AC918" s="482">
        <v>200</v>
      </c>
      <c r="AD918" s="672">
        <f t="shared" si="277"/>
        <v>31593.3</v>
      </c>
      <c r="AE918" s="634">
        <f t="shared" si="277"/>
        <v>22760.1</v>
      </c>
      <c r="AF918" s="645">
        <f t="shared" si="277"/>
        <v>31269.200000000001</v>
      </c>
      <c r="AG918" s="263"/>
      <c r="AH918" s="3"/>
    </row>
    <row r="919" spans="1:34" ht="31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R919" s="3"/>
      <c r="S919" s="3"/>
      <c r="W919" s="3"/>
      <c r="X919" s="451" t="s">
        <v>52</v>
      </c>
      <c r="Y919" s="452" t="s">
        <v>416</v>
      </c>
      <c r="Z919" s="453" t="s">
        <v>5</v>
      </c>
      <c r="AA919" s="453" t="s">
        <v>7</v>
      </c>
      <c r="AB919" s="542" t="s">
        <v>402</v>
      </c>
      <c r="AC919" s="454">
        <v>240</v>
      </c>
      <c r="AD919" s="672">
        <f>45027.6-11026.4+11026.4-14734.3+1300</f>
        <v>31593.3</v>
      </c>
      <c r="AE919" s="634">
        <f>45027.6-22267.5</f>
        <v>22760.1</v>
      </c>
      <c r="AF919" s="645">
        <v>31269.200000000001</v>
      </c>
      <c r="AG919" s="264"/>
      <c r="AH919" s="697" t="s">
        <v>795</v>
      </c>
    </row>
    <row r="920" spans="1:34" ht="31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R920" s="3"/>
      <c r="S920" s="3"/>
      <c r="W920" s="3"/>
      <c r="X920" s="451" t="s">
        <v>630</v>
      </c>
      <c r="Y920" s="452" t="s">
        <v>416</v>
      </c>
      <c r="Z920" s="453" t="s">
        <v>5</v>
      </c>
      <c r="AA920" s="453" t="s">
        <v>7</v>
      </c>
      <c r="AB920" s="542" t="s">
        <v>629</v>
      </c>
      <c r="AC920" s="454"/>
      <c r="AD920" s="672">
        <f t="shared" ref="AD920:AF921" si="278">AD921</f>
        <v>15915.2</v>
      </c>
      <c r="AE920" s="634">
        <f t="shared" si="278"/>
        <v>16552</v>
      </c>
      <c r="AF920" s="645">
        <f t="shared" si="278"/>
        <v>17214</v>
      </c>
      <c r="AG920" s="264"/>
      <c r="AH920" s="3"/>
    </row>
    <row r="921" spans="1:34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R921" s="3"/>
      <c r="S921" s="3"/>
      <c r="W921" s="3"/>
      <c r="X921" s="451" t="s">
        <v>120</v>
      </c>
      <c r="Y921" s="452" t="s">
        <v>416</v>
      </c>
      <c r="Z921" s="453" t="s">
        <v>5</v>
      </c>
      <c r="AA921" s="453" t="s">
        <v>7</v>
      </c>
      <c r="AB921" s="542" t="s">
        <v>629</v>
      </c>
      <c r="AC921" s="482">
        <v>200</v>
      </c>
      <c r="AD921" s="672">
        <f t="shared" si="278"/>
        <v>15915.2</v>
      </c>
      <c r="AE921" s="634">
        <f t="shared" si="278"/>
        <v>16552</v>
      </c>
      <c r="AF921" s="645">
        <f t="shared" si="278"/>
        <v>17214</v>
      </c>
      <c r="AG921" s="264"/>
      <c r="AH921" s="3"/>
    </row>
    <row r="922" spans="1:34" ht="31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R922" s="3"/>
      <c r="S922" s="3"/>
      <c r="W922" s="3"/>
      <c r="X922" s="451" t="s">
        <v>52</v>
      </c>
      <c r="Y922" s="452" t="s">
        <v>416</v>
      </c>
      <c r="Z922" s="453" t="s">
        <v>5</v>
      </c>
      <c r="AA922" s="453" t="s">
        <v>7</v>
      </c>
      <c r="AB922" s="542" t="s">
        <v>629</v>
      </c>
      <c r="AC922" s="454">
        <v>240</v>
      </c>
      <c r="AD922" s="672">
        <f>15915+0.2</f>
        <v>15915.2</v>
      </c>
      <c r="AE922" s="634">
        <v>16552</v>
      </c>
      <c r="AF922" s="645">
        <v>17214</v>
      </c>
      <c r="AG922" s="264"/>
      <c r="AH922" s="3"/>
    </row>
    <row r="923" spans="1:34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R923" s="3"/>
      <c r="S923" s="3"/>
      <c r="W923" s="3"/>
      <c r="X923" s="451" t="s">
        <v>627</v>
      </c>
      <c r="Y923" s="452" t="s">
        <v>416</v>
      </c>
      <c r="Z923" s="453" t="s">
        <v>5</v>
      </c>
      <c r="AA923" s="453" t="s">
        <v>7</v>
      </c>
      <c r="AB923" s="542" t="s">
        <v>628</v>
      </c>
      <c r="AC923" s="454"/>
      <c r="AD923" s="672">
        <f t="shared" ref="AD923:AF924" si="279">AD924</f>
        <v>14147</v>
      </c>
      <c r="AE923" s="634">
        <f t="shared" si="279"/>
        <v>14713</v>
      </c>
      <c r="AF923" s="645">
        <f t="shared" si="279"/>
        <v>15301</v>
      </c>
      <c r="AG923" s="264"/>
      <c r="AH923" s="3"/>
    </row>
    <row r="924" spans="1:34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R924" s="3"/>
      <c r="S924" s="3"/>
      <c r="W924" s="3"/>
      <c r="X924" s="451" t="s">
        <v>120</v>
      </c>
      <c r="Y924" s="452" t="s">
        <v>416</v>
      </c>
      <c r="Z924" s="453" t="s">
        <v>5</v>
      </c>
      <c r="AA924" s="453" t="s">
        <v>7</v>
      </c>
      <c r="AB924" s="542" t="s">
        <v>628</v>
      </c>
      <c r="AC924" s="482">
        <v>200</v>
      </c>
      <c r="AD924" s="672">
        <f t="shared" si="279"/>
        <v>14147</v>
      </c>
      <c r="AE924" s="634">
        <f t="shared" si="279"/>
        <v>14713</v>
      </c>
      <c r="AF924" s="645">
        <f t="shared" si="279"/>
        <v>15301</v>
      </c>
      <c r="AG924" s="264"/>
      <c r="AH924" s="3"/>
    </row>
    <row r="925" spans="1:34" ht="31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R925" s="3"/>
      <c r="S925" s="3"/>
      <c r="W925" s="3"/>
      <c r="X925" s="451" t="s">
        <v>52</v>
      </c>
      <c r="Y925" s="452" t="s">
        <v>416</v>
      </c>
      <c r="Z925" s="453" t="s">
        <v>5</v>
      </c>
      <c r="AA925" s="453" t="s">
        <v>7</v>
      </c>
      <c r="AB925" s="542" t="s">
        <v>628</v>
      </c>
      <c r="AC925" s="454">
        <v>240</v>
      </c>
      <c r="AD925" s="672">
        <f>14147</f>
        <v>14147</v>
      </c>
      <c r="AE925" s="634">
        <v>14713</v>
      </c>
      <c r="AF925" s="645">
        <v>15301</v>
      </c>
      <c r="AG925" s="264"/>
      <c r="AH925" s="3"/>
    </row>
    <row r="926" spans="1:34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R926" s="3"/>
      <c r="S926" s="3"/>
      <c r="W926" s="3"/>
      <c r="X926" s="451" t="s">
        <v>429</v>
      </c>
      <c r="Y926" s="452" t="s">
        <v>416</v>
      </c>
      <c r="Z926" s="453" t="s">
        <v>5</v>
      </c>
      <c r="AA926" s="453" t="s">
        <v>7</v>
      </c>
      <c r="AB926" s="542" t="s">
        <v>691</v>
      </c>
      <c r="AC926" s="454"/>
      <c r="AD926" s="672">
        <f t="shared" ref="AD926:AF927" si="280">AD927</f>
        <v>3833</v>
      </c>
      <c r="AE926" s="634">
        <f t="shared" si="280"/>
        <v>3986</v>
      </c>
      <c r="AF926" s="645">
        <f t="shared" si="280"/>
        <v>4145</v>
      </c>
      <c r="AG926" s="264"/>
      <c r="AH926" s="3"/>
    </row>
    <row r="927" spans="1:34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R927" s="3"/>
      <c r="S927" s="3"/>
      <c r="W927" s="3"/>
      <c r="X927" s="451" t="s">
        <v>120</v>
      </c>
      <c r="Y927" s="452" t="s">
        <v>416</v>
      </c>
      <c r="Z927" s="453" t="s">
        <v>5</v>
      </c>
      <c r="AA927" s="453" t="s">
        <v>7</v>
      </c>
      <c r="AB927" s="542" t="s">
        <v>691</v>
      </c>
      <c r="AC927" s="482">
        <v>200</v>
      </c>
      <c r="AD927" s="672">
        <f t="shared" si="280"/>
        <v>3833</v>
      </c>
      <c r="AE927" s="634">
        <f t="shared" si="280"/>
        <v>3986</v>
      </c>
      <c r="AF927" s="645">
        <f t="shared" si="280"/>
        <v>4145</v>
      </c>
      <c r="AG927" s="264"/>
      <c r="AH927" s="3"/>
    </row>
    <row r="928" spans="1:34" ht="31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R928" s="3"/>
      <c r="S928" s="3"/>
      <c r="W928" s="3"/>
      <c r="X928" s="451" t="s">
        <v>52</v>
      </c>
      <c r="Y928" s="452" t="s">
        <v>416</v>
      </c>
      <c r="Z928" s="453" t="s">
        <v>5</v>
      </c>
      <c r="AA928" s="453" t="s">
        <v>7</v>
      </c>
      <c r="AB928" s="542" t="s">
        <v>691</v>
      </c>
      <c r="AC928" s="454">
        <v>240</v>
      </c>
      <c r="AD928" s="672">
        <v>3833</v>
      </c>
      <c r="AE928" s="634">
        <v>3986</v>
      </c>
      <c r="AF928" s="645">
        <v>4145</v>
      </c>
      <c r="AG928" s="264"/>
      <c r="AH928" s="3"/>
    </row>
    <row r="929" spans="1:34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R929" s="3"/>
      <c r="S929" s="3"/>
      <c r="W929" s="3"/>
      <c r="X929" s="466" t="s">
        <v>650</v>
      </c>
      <c r="Y929" s="452" t="s">
        <v>416</v>
      </c>
      <c r="Z929" s="453" t="s">
        <v>5</v>
      </c>
      <c r="AA929" s="453" t="s">
        <v>7</v>
      </c>
      <c r="AB929" s="555" t="s">
        <v>825</v>
      </c>
      <c r="AC929" s="454"/>
      <c r="AD929" s="672">
        <f>AD930</f>
        <v>38579.1</v>
      </c>
      <c r="AE929" s="672">
        <f t="shared" ref="AE929:AF929" si="281">AE930</f>
        <v>40122.300000000003</v>
      </c>
      <c r="AF929" s="672">
        <f t="shared" si="281"/>
        <v>41727.300000000003</v>
      </c>
      <c r="AG929" s="264"/>
      <c r="AH929" s="3"/>
    </row>
    <row r="930" spans="1:34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R930" s="3"/>
      <c r="S930" s="3"/>
      <c r="W930" s="3"/>
      <c r="X930" s="466" t="s">
        <v>396</v>
      </c>
      <c r="Y930" s="452" t="s">
        <v>416</v>
      </c>
      <c r="Z930" s="453" t="s">
        <v>5</v>
      </c>
      <c r="AA930" s="453" t="s">
        <v>7</v>
      </c>
      <c r="AB930" s="555" t="s">
        <v>794</v>
      </c>
      <c r="AC930" s="454"/>
      <c r="AD930" s="672">
        <f>AD931</f>
        <v>38579.1</v>
      </c>
      <c r="AE930" s="634">
        <f t="shared" ref="AE930:AF930" si="282">AE931</f>
        <v>40122.300000000003</v>
      </c>
      <c r="AF930" s="645">
        <f t="shared" si="282"/>
        <v>41727.300000000003</v>
      </c>
      <c r="AG930" s="264"/>
      <c r="AH930" s="3"/>
    </row>
    <row r="931" spans="1:34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R931" s="3"/>
      <c r="S931" s="3"/>
      <c r="W931" s="3"/>
      <c r="X931" s="451" t="s">
        <v>120</v>
      </c>
      <c r="Y931" s="452" t="s">
        <v>416</v>
      </c>
      <c r="Z931" s="453" t="s">
        <v>5</v>
      </c>
      <c r="AA931" s="453" t="s">
        <v>7</v>
      </c>
      <c r="AB931" s="555" t="s">
        <v>794</v>
      </c>
      <c r="AC931" s="454">
        <v>200</v>
      </c>
      <c r="AD931" s="672">
        <f t="shared" ref="AD931:AF931" si="283">AD932</f>
        <v>38579.1</v>
      </c>
      <c r="AE931" s="634">
        <f t="shared" si="283"/>
        <v>40122.300000000003</v>
      </c>
      <c r="AF931" s="645">
        <f t="shared" si="283"/>
        <v>41727.300000000003</v>
      </c>
      <c r="AG931" s="264"/>
      <c r="AH931" s="3"/>
    </row>
    <row r="932" spans="1:34" ht="31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R932" s="3"/>
      <c r="S932" s="3"/>
      <c r="W932" s="3"/>
      <c r="X932" s="451" t="s">
        <v>52</v>
      </c>
      <c r="Y932" s="452" t="s">
        <v>416</v>
      </c>
      <c r="Z932" s="453" t="s">
        <v>5</v>
      </c>
      <c r="AA932" s="453" t="s">
        <v>7</v>
      </c>
      <c r="AB932" s="555" t="s">
        <v>794</v>
      </c>
      <c r="AC932" s="454">
        <v>240</v>
      </c>
      <c r="AD932" s="672">
        <f>38579+0.1</f>
        <v>38579.1</v>
      </c>
      <c r="AE932" s="634">
        <f>40122+0.3</f>
        <v>40122.300000000003</v>
      </c>
      <c r="AF932" s="645">
        <f>41727+0.3</f>
        <v>41727.300000000003</v>
      </c>
      <c r="AG932" s="264"/>
      <c r="AH932" s="3"/>
    </row>
    <row r="933" spans="1:34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R933" s="3"/>
      <c r="S933" s="3"/>
      <c r="W933" s="3"/>
      <c r="X933" s="451" t="s">
        <v>27</v>
      </c>
      <c r="Y933" s="452" t="s">
        <v>416</v>
      </c>
      <c r="Z933" s="453" t="s">
        <v>5</v>
      </c>
      <c r="AA933" s="453" t="s">
        <v>5</v>
      </c>
      <c r="AB933" s="541"/>
      <c r="AC933" s="482"/>
      <c r="AD933" s="672">
        <f>AD940+AD934</f>
        <v>30952.800000000003</v>
      </c>
      <c r="AE933" s="634">
        <f t="shared" ref="AE933:AF933" si="284">AE940+AE934</f>
        <v>30209.8</v>
      </c>
      <c r="AF933" s="645">
        <f t="shared" si="284"/>
        <v>30215.399999999998</v>
      </c>
      <c r="AH933" s="3"/>
    </row>
    <row r="934" spans="1:34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R934" s="3"/>
      <c r="S934" s="3"/>
      <c r="W934" s="3"/>
      <c r="X934" s="457" t="s">
        <v>186</v>
      </c>
      <c r="Y934" s="452" t="s">
        <v>416</v>
      </c>
      <c r="Z934" s="453" t="s">
        <v>5</v>
      </c>
      <c r="AA934" s="453" t="s">
        <v>5</v>
      </c>
      <c r="AB934" s="542" t="s">
        <v>112</v>
      </c>
      <c r="AC934" s="482"/>
      <c r="AD934" s="672">
        <f>AD935</f>
        <v>124.39999999999999</v>
      </c>
      <c r="AE934" s="634">
        <f t="shared" ref="AE934:AF934" si="285">AE935</f>
        <v>87.9</v>
      </c>
      <c r="AF934" s="645">
        <f t="shared" si="285"/>
        <v>91.5</v>
      </c>
      <c r="AH934" s="3"/>
    </row>
    <row r="935" spans="1:34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R935" s="3"/>
      <c r="S935" s="3"/>
      <c r="W935" s="3"/>
      <c r="X935" s="457" t="s">
        <v>189</v>
      </c>
      <c r="Y935" s="452" t="s">
        <v>416</v>
      </c>
      <c r="Z935" s="453" t="s">
        <v>5</v>
      </c>
      <c r="AA935" s="453" t="s">
        <v>5</v>
      </c>
      <c r="AB935" s="542" t="s">
        <v>190</v>
      </c>
      <c r="AC935" s="482"/>
      <c r="AD935" s="672">
        <f>AD936</f>
        <v>124.39999999999999</v>
      </c>
      <c r="AE935" s="634">
        <f t="shared" ref="AE935:AF935" si="286">AE936</f>
        <v>87.9</v>
      </c>
      <c r="AF935" s="645">
        <f t="shared" si="286"/>
        <v>91.5</v>
      </c>
      <c r="AH935" s="3"/>
    </row>
    <row r="936" spans="1:34" ht="31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R936" s="3"/>
      <c r="S936" s="3"/>
      <c r="W936" s="3"/>
      <c r="X936" s="451" t="s">
        <v>534</v>
      </c>
      <c r="Y936" s="452" t="s">
        <v>416</v>
      </c>
      <c r="Z936" s="453" t="s">
        <v>5</v>
      </c>
      <c r="AA936" s="453" t="s">
        <v>5</v>
      </c>
      <c r="AB936" s="544" t="s">
        <v>535</v>
      </c>
      <c r="AC936" s="454"/>
      <c r="AD936" s="672">
        <f>AD937</f>
        <v>124.39999999999999</v>
      </c>
      <c r="AE936" s="634">
        <f t="shared" ref="AE936:AF938" si="287">AE937</f>
        <v>87.9</v>
      </c>
      <c r="AF936" s="645">
        <f t="shared" si="287"/>
        <v>91.5</v>
      </c>
      <c r="AH936" s="3"/>
    </row>
    <row r="937" spans="1:34" ht="78.7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R937" s="3"/>
      <c r="S937" s="3"/>
      <c r="W937" s="3"/>
      <c r="X937" s="451" t="s">
        <v>406</v>
      </c>
      <c r="Y937" s="452" t="s">
        <v>416</v>
      </c>
      <c r="Z937" s="453" t="s">
        <v>5</v>
      </c>
      <c r="AA937" s="453" t="s">
        <v>5</v>
      </c>
      <c r="AB937" s="542" t="s">
        <v>536</v>
      </c>
      <c r="AC937" s="454"/>
      <c r="AD937" s="672">
        <f>AD938</f>
        <v>124.39999999999999</v>
      </c>
      <c r="AE937" s="634">
        <f t="shared" si="287"/>
        <v>87.9</v>
      </c>
      <c r="AF937" s="645">
        <f t="shared" si="287"/>
        <v>91.5</v>
      </c>
      <c r="AH937" s="3"/>
    </row>
    <row r="938" spans="1:34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R938" s="3"/>
      <c r="S938" s="3"/>
      <c r="W938" s="3"/>
      <c r="X938" s="451" t="s">
        <v>120</v>
      </c>
      <c r="Y938" s="452" t="s">
        <v>416</v>
      </c>
      <c r="Z938" s="453" t="s">
        <v>5</v>
      </c>
      <c r="AA938" s="453" t="s">
        <v>5</v>
      </c>
      <c r="AB938" s="542" t="s">
        <v>536</v>
      </c>
      <c r="AC938" s="454">
        <v>200</v>
      </c>
      <c r="AD938" s="672">
        <f>AD939</f>
        <v>124.39999999999999</v>
      </c>
      <c r="AE938" s="634">
        <f t="shared" si="287"/>
        <v>87.9</v>
      </c>
      <c r="AF938" s="645">
        <f t="shared" si="287"/>
        <v>91.5</v>
      </c>
      <c r="AH938" s="3"/>
    </row>
    <row r="939" spans="1:34" ht="31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R939" s="3"/>
      <c r="S939" s="3"/>
      <c r="W939" s="3"/>
      <c r="X939" s="451" t="s">
        <v>52</v>
      </c>
      <c r="Y939" s="452" t="s">
        <v>416</v>
      </c>
      <c r="Z939" s="453" t="s">
        <v>5</v>
      </c>
      <c r="AA939" s="453" t="s">
        <v>5</v>
      </c>
      <c r="AB939" s="542" t="s">
        <v>536</v>
      </c>
      <c r="AC939" s="454">
        <v>240</v>
      </c>
      <c r="AD939" s="672">
        <f>84.6+39.8</f>
        <v>124.39999999999999</v>
      </c>
      <c r="AE939" s="634">
        <v>87.9</v>
      </c>
      <c r="AF939" s="645">
        <v>91.5</v>
      </c>
      <c r="AH939" s="3"/>
    </row>
    <row r="940" spans="1:34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R940" s="3"/>
      <c r="S940" s="3"/>
      <c r="W940" s="3"/>
      <c r="X940" s="457" t="s">
        <v>242</v>
      </c>
      <c r="Y940" s="452" t="s">
        <v>416</v>
      </c>
      <c r="Z940" s="453" t="s">
        <v>5</v>
      </c>
      <c r="AA940" s="453" t="s">
        <v>5</v>
      </c>
      <c r="AB940" s="542" t="s">
        <v>243</v>
      </c>
      <c r="AC940" s="482"/>
      <c r="AD940" s="672">
        <f>AD948+AD941</f>
        <v>30828.400000000001</v>
      </c>
      <c r="AE940" s="634">
        <f>AE948+AE941</f>
        <v>30121.899999999998</v>
      </c>
      <c r="AF940" s="645">
        <f>AF948+AF941</f>
        <v>30123.899999999998</v>
      </c>
      <c r="AG940" s="3"/>
      <c r="AH940" s="3"/>
    </row>
    <row r="941" spans="1:34" ht="31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R941" s="3"/>
      <c r="S941" s="3"/>
      <c r="W941" s="3"/>
      <c r="X941" s="457" t="s">
        <v>540</v>
      </c>
      <c r="Y941" s="452" t="s">
        <v>416</v>
      </c>
      <c r="Z941" s="453" t="s">
        <v>5</v>
      </c>
      <c r="AA941" s="453" t="s">
        <v>5</v>
      </c>
      <c r="AB941" s="542" t="s">
        <v>244</v>
      </c>
      <c r="AC941" s="482"/>
      <c r="AD941" s="672">
        <f t="shared" ref="AD941:AF942" si="288">AD942</f>
        <v>1612</v>
      </c>
      <c r="AE941" s="634">
        <f t="shared" si="288"/>
        <v>1614</v>
      </c>
      <c r="AF941" s="645">
        <f t="shared" si="288"/>
        <v>1616</v>
      </c>
      <c r="AG941" s="3"/>
      <c r="AH941" s="3"/>
    </row>
    <row r="942" spans="1:34" ht="31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R942" s="3"/>
      <c r="S942" s="3"/>
      <c r="W942" s="3"/>
      <c r="X942" s="466" t="s">
        <v>541</v>
      </c>
      <c r="Y942" s="452" t="s">
        <v>416</v>
      </c>
      <c r="Z942" s="453" t="s">
        <v>5</v>
      </c>
      <c r="AA942" s="453" t="s">
        <v>5</v>
      </c>
      <c r="AB942" s="542" t="s">
        <v>245</v>
      </c>
      <c r="AC942" s="482"/>
      <c r="AD942" s="672">
        <f t="shared" si="288"/>
        <v>1612</v>
      </c>
      <c r="AE942" s="634">
        <f t="shared" si="288"/>
        <v>1614</v>
      </c>
      <c r="AF942" s="645">
        <f t="shared" si="288"/>
        <v>1616</v>
      </c>
      <c r="AG942" s="3"/>
      <c r="AH942" s="3"/>
    </row>
    <row r="943" spans="1:34" ht="31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R943" s="3"/>
      <c r="S943" s="3"/>
      <c r="W943" s="3"/>
      <c r="X943" s="658" t="s">
        <v>328</v>
      </c>
      <c r="Y943" s="452" t="s">
        <v>416</v>
      </c>
      <c r="Z943" s="453" t="s">
        <v>5</v>
      </c>
      <c r="AA943" s="453" t="s">
        <v>5</v>
      </c>
      <c r="AB943" s="542" t="s">
        <v>543</v>
      </c>
      <c r="AC943" s="454"/>
      <c r="AD943" s="672">
        <f>AD944+AD946</f>
        <v>1612</v>
      </c>
      <c r="AE943" s="634">
        <f>AE944+AE946</f>
        <v>1614</v>
      </c>
      <c r="AF943" s="645">
        <f>AF944+AF946</f>
        <v>1616</v>
      </c>
      <c r="AG943" s="3"/>
      <c r="AH943" s="3"/>
    </row>
    <row r="944" spans="1:34" ht="47.2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R944" s="3"/>
      <c r="S944" s="3"/>
      <c r="W944" s="3"/>
      <c r="X944" s="658" t="s">
        <v>41</v>
      </c>
      <c r="Y944" s="452" t="s">
        <v>416</v>
      </c>
      <c r="Z944" s="453" t="s">
        <v>5</v>
      </c>
      <c r="AA944" s="453" t="s">
        <v>5</v>
      </c>
      <c r="AB944" s="542" t="s">
        <v>543</v>
      </c>
      <c r="AC944" s="454">
        <v>100</v>
      </c>
      <c r="AD944" s="672">
        <f>AD945</f>
        <v>1541</v>
      </c>
      <c r="AE944" s="634">
        <f>AE945</f>
        <v>1541</v>
      </c>
      <c r="AF944" s="645">
        <f>AF945</f>
        <v>1541</v>
      </c>
      <c r="AG944" s="3"/>
      <c r="AH944" s="3"/>
    </row>
    <row r="945" spans="1:34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R945" s="3"/>
      <c r="S945" s="3"/>
      <c r="W945" s="3"/>
      <c r="X945" s="658" t="s">
        <v>96</v>
      </c>
      <c r="Y945" s="452" t="s">
        <v>416</v>
      </c>
      <c r="Z945" s="453" t="s">
        <v>5</v>
      </c>
      <c r="AA945" s="453" t="s">
        <v>5</v>
      </c>
      <c r="AB945" s="542" t="s">
        <v>543</v>
      </c>
      <c r="AC945" s="454">
        <v>120</v>
      </c>
      <c r="AD945" s="672">
        <v>1541</v>
      </c>
      <c r="AE945" s="634">
        <v>1541</v>
      </c>
      <c r="AF945" s="645">
        <v>1541</v>
      </c>
      <c r="AG945" s="3"/>
      <c r="AH945" s="3"/>
    </row>
    <row r="946" spans="1:34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R946" s="3"/>
      <c r="S946" s="3"/>
      <c r="W946" s="3"/>
      <c r="X946" s="658" t="s">
        <v>120</v>
      </c>
      <c r="Y946" s="452" t="s">
        <v>416</v>
      </c>
      <c r="Z946" s="453" t="s">
        <v>5</v>
      </c>
      <c r="AA946" s="453" t="s">
        <v>5</v>
      </c>
      <c r="AB946" s="542" t="s">
        <v>543</v>
      </c>
      <c r="AC946" s="454">
        <v>200</v>
      </c>
      <c r="AD946" s="672">
        <f>AD947</f>
        <v>71</v>
      </c>
      <c r="AE946" s="634">
        <f>AE947</f>
        <v>73</v>
      </c>
      <c r="AF946" s="645">
        <f>AF947</f>
        <v>75</v>
      </c>
      <c r="AG946" s="3"/>
      <c r="AH946" s="3"/>
    </row>
    <row r="947" spans="1:34" ht="31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R947" s="3"/>
      <c r="S947" s="3"/>
      <c r="W947" s="3"/>
      <c r="X947" s="658" t="s">
        <v>52</v>
      </c>
      <c r="Y947" s="452" t="s">
        <v>416</v>
      </c>
      <c r="Z947" s="453" t="s">
        <v>5</v>
      </c>
      <c r="AA947" s="453" t="s">
        <v>5</v>
      </c>
      <c r="AB947" s="542" t="s">
        <v>543</v>
      </c>
      <c r="AC947" s="454">
        <v>240</v>
      </c>
      <c r="AD947" s="672">
        <v>71</v>
      </c>
      <c r="AE947" s="634">
        <v>73</v>
      </c>
      <c r="AF947" s="645">
        <v>75</v>
      </c>
      <c r="AG947" s="3"/>
      <c r="AH947" s="3"/>
    </row>
    <row r="948" spans="1:34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R948" s="3"/>
      <c r="S948" s="3"/>
      <c r="W948" s="3"/>
      <c r="X948" s="457" t="s">
        <v>189</v>
      </c>
      <c r="Y948" s="452" t="s">
        <v>416</v>
      </c>
      <c r="Z948" s="453" t="s">
        <v>5</v>
      </c>
      <c r="AA948" s="453" t="s">
        <v>5</v>
      </c>
      <c r="AB948" s="542" t="s">
        <v>320</v>
      </c>
      <c r="AC948" s="454"/>
      <c r="AD948" s="672">
        <f t="shared" ref="AD948:AF949" si="289">AD949</f>
        <v>29216.400000000001</v>
      </c>
      <c r="AE948" s="634">
        <f t="shared" si="289"/>
        <v>28507.899999999998</v>
      </c>
      <c r="AF948" s="645">
        <f t="shared" si="289"/>
        <v>28507.899999999998</v>
      </c>
      <c r="AG948" s="3"/>
      <c r="AH948" s="3"/>
    </row>
    <row r="949" spans="1:34" ht="31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R949" s="3"/>
      <c r="S949" s="3"/>
      <c r="W949" s="3"/>
      <c r="X949" s="457" t="s">
        <v>191</v>
      </c>
      <c r="Y949" s="452" t="s">
        <v>416</v>
      </c>
      <c r="Z949" s="453" t="s">
        <v>5</v>
      </c>
      <c r="AA949" s="453" t="s">
        <v>5</v>
      </c>
      <c r="AB949" s="542" t="s">
        <v>322</v>
      </c>
      <c r="AC949" s="482"/>
      <c r="AD949" s="672">
        <f>AD950</f>
        <v>29216.400000000001</v>
      </c>
      <c r="AE949" s="634">
        <f t="shared" si="289"/>
        <v>28507.899999999998</v>
      </c>
      <c r="AF949" s="645">
        <f t="shared" si="289"/>
        <v>28507.899999999998</v>
      </c>
      <c r="AG949" s="3"/>
      <c r="AH949" s="3"/>
    </row>
    <row r="950" spans="1:34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R950" s="3"/>
      <c r="S950" s="3"/>
      <c r="W950" s="3"/>
      <c r="X950" s="466" t="s">
        <v>205</v>
      </c>
      <c r="Y950" s="452" t="s">
        <v>416</v>
      </c>
      <c r="Z950" s="453" t="s">
        <v>5</v>
      </c>
      <c r="AA950" s="453" t="s">
        <v>5</v>
      </c>
      <c r="AB950" s="542" t="s">
        <v>544</v>
      </c>
      <c r="AC950" s="482"/>
      <c r="AD950" s="672">
        <f>AD951+AD956+AD959</f>
        <v>29216.400000000001</v>
      </c>
      <c r="AE950" s="634">
        <f>AE951+AE956+AE959</f>
        <v>28507.899999999998</v>
      </c>
      <c r="AF950" s="645">
        <f>AF951+AF956+AF959</f>
        <v>28507.899999999998</v>
      </c>
      <c r="AH950" s="3"/>
    </row>
    <row r="951" spans="1:34" ht="31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R951" s="3"/>
      <c r="S951" s="3"/>
      <c r="W951" s="3"/>
      <c r="X951" s="451" t="s">
        <v>206</v>
      </c>
      <c r="Y951" s="452" t="s">
        <v>416</v>
      </c>
      <c r="Z951" s="453" t="s">
        <v>5</v>
      </c>
      <c r="AA951" s="453" t="s">
        <v>5</v>
      </c>
      <c r="AB951" s="542" t="s">
        <v>545</v>
      </c>
      <c r="AC951" s="454"/>
      <c r="AD951" s="672">
        <f>AD952+AD954</f>
        <v>2285.8999999999996</v>
      </c>
      <c r="AE951" s="672">
        <f t="shared" ref="AE951:AF951" si="290">AE952+AE954</f>
        <v>2325.6</v>
      </c>
      <c r="AF951" s="672">
        <f t="shared" si="290"/>
        <v>2325.6</v>
      </c>
      <c r="AH951" s="3"/>
    </row>
    <row r="952" spans="1:34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R952" s="3"/>
      <c r="S952" s="3"/>
      <c r="W952" s="3"/>
      <c r="X952" s="451" t="s">
        <v>120</v>
      </c>
      <c r="Y952" s="452" t="s">
        <v>416</v>
      </c>
      <c r="Z952" s="453" t="s">
        <v>5</v>
      </c>
      <c r="AA952" s="453" t="s">
        <v>5</v>
      </c>
      <c r="AB952" s="542" t="s">
        <v>545</v>
      </c>
      <c r="AC952" s="454">
        <v>200</v>
      </c>
      <c r="AD952" s="672">
        <f>AD953</f>
        <v>2285.7999999999997</v>
      </c>
      <c r="AE952" s="634">
        <f>AE953</f>
        <v>2325.6</v>
      </c>
      <c r="AF952" s="645">
        <f>AF953</f>
        <v>2325.6</v>
      </c>
      <c r="AH952" s="3"/>
    </row>
    <row r="953" spans="1:34" ht="31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R953" s="3"/>
      <c r="S953" s="3"/>
      <c r="W953" s="3"/>
      <c r="X953" s="451" t="s">
        <v>52</v>
      </c>
      <c r="Y953" s="452" t="s">
        <v>416</v>
      </c>
      <c r="Z953" s="453" t="s">
        <v>5</v>
      </c>
      <c r="AA953" s="453" t="s">
        <v>5</v>
      </c>
      <c r="AB953" s="542" t="s">
        <v>545</v>
      </c>
      <c r="AC953" s="454">
        <v>240</v>
      </c>
      <c r="AD953" s="672">
        <f>2325.6-39.8</f>
        <v>2285.7999999999997</v>
      </c>
      <c r="AE953" s="634">
        <v>2325.6</v>
      </c>
      <c r="AF953" s="645">
        <v>2325.6</v>
      </c>
      <c r="AH953" s="3"/>
    </row>
    <row r="954" spans="1:34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R954" s="3"/>
      <c r="S954" s="3"/>
      <c r="W954" s="3"/>
      <c r="X954" s="451" t="s">
        <v>42</v>
      </c>
      <c r="Y954" s="452" t="s">
        <v>416</v>
      </c>
      <c r="Z954" s="453" t="s">
        <v>5</v>
      </c>
      <c r="AA954" s="453" t="s">
        <v>5</v>
      </c>
      <c r="AB954" s="542" t="s">
        <v>545</v>
      </c>
      <c r="AC954" s="454">
        <v>800</v>
      </c>
      <c r="AD954" s="672">
        <f>AD955</f>
        <v>0.1</v>
      </c>
      <c r="AE954" s="672">
        <f t="shared" ref="AE954:AF954" si="291">AE955</f>
        <v>0</v>
      </c>
      <c r="AF954" s="672">
        <f t="shared" si="291"/>
        <v>0</v>
      </c>
      <c r="AH954" s="3"/>
    </row>
    <row r="955" spans="1:34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R955" s="3"/>
      <c r="S955" s="3"/>
      <c r="W955" s="3"/>
      <c r="X955" s="451" t="s">
        <v>57</v>
      </c>
      <c r="Y955" s="452" t="s">
        <v>416</v>
      </c>
      <c r="Z955" s="453" t="s">
        <v>5</v>
      </c>
      <c r="AA955" s="453" t="s">
        <v>5</v>
      </c>
      <c r="AB955" s="542" t="s">
        <v>545</v>
      </c>
      <c r="AC955" s="454">
        <v>850</v>
      </c>
      <c r="AD955" s="672">
        <v>0.1</v>
      </c>
      <c r="AE955" s="634">
        <v>0</v>
      </c>
      <c r="AF955" s="645">
        <v>0</v>
      </c>
      <c r="AH955" s="3"/>
    </row>
    <row r="956" spans="1:34" ht="31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R956" s="3"/>
      <c r="S956" s="3"/>
      <c r="W956" s="3"/>
      <c r="X956" s="451" t="s">
        <v>207</v>
      </c>
      <c r="Y956" s="452" t="s">
        <v>416</v>
      </c>
      <c r="Z956" s="453" t="s">
        <v>5</v>
      </c>
      <c r="AA956" s="453" t="s">
        <v>5</v>
      </c>
      <c r="AB956" s="542" t="s">
        <v>546</v>
      </c>
      <c r="AC956" s="454"/>
      <c r="AD956" s="672">
        <f t="shared" ref="AD956:AF957" si="292">AD957</f>
        <v>17192.5</v>
      </c>
      <c r="AE956" s="634">
        <f t="shared" si="292"/>
        <v>16444.3</v>
      </c>
      <c r="AF956" s="645">
        <f t="shared" si="292"/>
        <v>16444.3</v>
      </c>
      <c r="AH956" s="3"/>
    </row>
    <row r="957" spans="1:34" ht="47.2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R957" s="3"/>
      <c r="S957" s="3"/>
      <c r="W957" s="3"/>
      <c r="X957" s="451" t="s">
        <v>41</v>
      </c>
      <c r="Y957" s="452" t="s">
        <v>416</v>
      </c>
      <c r="Z957" s="453" t="s">
        <v>5</v>
      </c>
      <c r="AA957" s="453" t="s">
        <v>5</v>
      </c>
      <c r="AB957" s="542" t="s">
        <v>546</v>
      </c>
      <c r="AC957" s="454">
        <v>100</v>
      </c>
      <c r="AD957" s="672">
        <f t="shared" si="292"/>
        <v>17192.5</v>
      </c>
      <c r="AE957" s="634">
        <f t="shared" si="292"/>
        <v>16444.3</v>
      </c>
      <c r="AF957" s="645">
        <f t="shared" si="292"/>
        <v>16444.3</v>
      </c>
      <c r="AH957" s="3"/>
    </row>
    <row r="958" spans="1:34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R958" s="3"/>
      <c r="S958" s="3"/>
      <c r="W958" s="3"/>
      <c r="X958" s="451" t="s">
        <v>96</v>
      </c>
      <c r="Y958" s="452" t="s">
        <v>416</v>
      </c>
      <c r="Z958" s="453" t="s">
        <v>5</v>
      </c>
      <c r="AA958" s="453" t="s">
        <v>5</v>
      </c>
      <c r="AB958" s="542" t="s">
        <v>546</v>
      </c>
      <c r="AC958" s="454">
        <v>120</v>
      </c>
      <c r="AD958" s="672">
        <f>16444.3-0.1+748.3</f>
        <v>17192.5</v>
      </c>
      <c r="AE958" s="634">
        <v>16444.3</v>
      </c>
      <c r="AF958" s="645">
        <v>16444.3</v>
      </c>
      <c r="AG958" s="264"/>
      <c r="AH958" s="3"/>
    </row>
    <row r="959" spans="1:34" ht="31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R959" s="3"/>
      <c r="S959" s="3"/>
      <c r="W959" s="3"/>
      <c r="X959" s="451" t="s">
        <v>208</v>
      </c>
      <c r="Y959" s="452" t="s">
        <v>416</v>
      </c>
      <c r="Z959" s="453" t="s">
        <v>5</v>
      </c>
      <c r="AA959" s="453" t="s">
        <v>5</v>
      </c>
      <c r="AB959" s="542" t="s">
        <v>547</v>
      </c>
      <c r="AC959" s="454"/>
      <c r="AD959" s="672">
        <f t="shared" ref="AD959:AF960" si="293">AD960</f>
        <v>9738</v>
      </c>
      <c r="AE959" s="634">
        <f t="shared" si="293"/>
        <v>9738</v>
      </c>
      <c r="AF959" s="645">
        <f t="shared" si="293"/>
        <v>9738</v>
      </c>
      <c r="AH959" s="3"/>
    </row>
    <row r="960" spans="1:34" ht="47.2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R960" s="3"/>
      <c r="S960" s="3"/>
      <c r="W960" s="3"/>
      <c r="X960" s="451" t="s">
        <v>41</v>
      </c>
      <c r="Y960" s="452" t="s">
        <v>416</v>
      </c>
      <c r="Z960" s="453" t="s">
        <v>5</v>
      </c>
      <c r="AA960" s="453" t="s">
        <v>5</v>
      </c>
      <c r="AB960" s="542" t="s">
        <v>547</v>
      </c>
      <c r="AC960" s="454">
        <v>100</v>
      </c>
      <c r="AD960" s="672">
        <f t="shared" si="293"/>
        <v>9738</v>
      </c>
      <c r="AE960" s="634">
        <f t="shared" si="293"/>
        <v>9738</v>
      </c>
      <c r="AF960" s="645">
        <f t="shared" si="293"/>
        <v>9738</v>
      </c>
      <c r="AH960" s="3"/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W961" s="3"/>
      <c r="X961" s="451" t="s">
        <v>96</v>
      </c>
      <c r="Y961" s="452" t="s">
        <v>416</v>
      </c>
      <c r="Z961" s="453" t="s">
        <v>5</v>
      </c>
      <c r="AA961" s="453" t="s">
        <v>5</v>
      </c>
      <c r="AB961" s="542" t="s">
        <v>547</v>
      </c>
      <c r="AC961" s="454">
        <v>120</v>
      </c>
      <c r="AD961" s="672">
        <v>9738</v>
      </c>
      <c r="AE961" s="634">
        <v>9738</v>
      </c>
      <c r="AF961" s="645">
        <v>9738</v>
      </c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W962" s="3"/>
      <c r="X962" s="653" t="s">
        <v>39</v>
      </c>
      <c r="Y962" s="448" t="s">
        <v>416</v>
      </c>
      <c r="Z962" s="471" t="s">
        <v>95</v>
      </c>
      <c r="AA962" s="453"/>
      <c r="AB962" s="541"/>
      <c r="AC962" s="454"/>
      <c r="AD962" s="671">
        <f>AD963</f>
        <v>824970</v>
      </c>
      <c r="AE962" s="633">
        <f>AE963</f>
        <v>0</v>
      </c>
      <c r="AF962" s="644">
        <f>AF963</f>
        <v>0</v>
      </c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W963" s="3"/>
      <c r="X963" s="451" t="s">
        <v>92</v>
      </c>
      <c r="Y963" s="452" t="s">
        <v>416</v>
      </c>
      <c r="Z963" s="474" t="s">
        <v>95</v>
      </c>
      <c r="AA963" s="453" t="s">
        <v>30</v>
      </c>
      <c r="AB963" s="541"/>
      <c r="AC963" s="454"/>
      <c r="AD963" s="672">
        <f t="shared" ref="AD963:AF971" si="294">AD964</f>
        <v>824970</v>
      </c>
      <c r="AE963" s="634">
        <f t="shared" si="294"/>
        <v>0</v>
      </c>
      <c r="AF963" s="645">
        <f t="shared" si="294"/>
        <v>0</v>
      </c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W964" s="3"/>
      <c r="X964" s="459" t="s">
        <v>597</v>
      </c>
      <c r="Y964" s="452" t="s">
        <v>416</v>
      </c>
      <c r="Z964" s="474" t="s">
        <v>95</v>
      </c>
      <c r="AA964" s="453" t="s">
        <v>30</v>
      </c>
      <c r="AB964" s="542" t="s">
        <v>111</v>
      </c>
      <c r="AC964" s="454"/>
      <c r="AD964" s="672">
        <f>AD965</f>
        <v>824970</v>
      </c>
      <c r="AE964" s="634">
        <f>AE965+AE869</f>
        <v>0</v>
      </c>
      <c r="AF964" s="645">
        <f>AF965+AF869</f>
        <v>0</v>
      </c>
      <c r="AH964" s="3"/>
    </row>
    <row r="965" spans="1:3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W965" s="3"/>
      <c r="X965" s="459" t="s">
        <v>589</v>
      </c>
      <c r="Y965" s="452" t="s">
        <v>416</v>
      </c>
      <c r="Z965" s="474" t="s">
        <v>95</v>
      </c>
      <c r="AA965" s="453" t="s">
        <v>30</v>
      </c>
      <c r="AB965" s="542" t="s">
        <v>590</v>
      </c>
      <c r="AC965" s="454"/>
      <c r="AD965" s="672">
        <f>AD966</f>
        <v>824970</v>
      </c>
      <c r="AE965" s="634">
        <f>AE970</f>
        <v>0</v>
      </c>
      <c r="AF965" s="645">
        <f>AF970</f>
        <v>0</v>
      </c>
      <c r="AH965" s="3"/>
    </row>
    <row r="966" spans="1:34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W966" s="3"/>
      <c r="X966" s="459" t="s">
        <v>760</v>
      </c>
      <c r="Y966" s="452" t="s">
        <v>416</v>
      </c>
      <c r="Z966" s="474" t="s">
        <v>95</v>
      </c>
      <c r="AA966" s="453" t="s">
        <v>30</v>
      </c>
      <c r="AB966" s="542" t="s">
        <v>761</v>
      </c>
      <c r="AC966" s="454"/>
      <c r="AD966" s="672">
        <f>AD970+AD967</f>
        <v>824970</v>
      </c>
      <c r="AE966" s="634">
        <f t="shared" ref="AE966:AF966" si="295">AE970+AE967</f>
        <v>0</v>
      </c>
      <c r="AF966" s="645">
        <f t="shared" si="295"/>
        <v>0</v>
      </c>
      <c r="AH966" s="3"/>
    </row>
    <row r="967" spans="1:34" ht="29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W967" s="3"/>
      <c r="X967" s="459" t="s">
        <v>758</v>
      </c>
      <c r="Y967" s="452" t="s">
        <v>416</v>
      </c>
      <c r="Z967" s="474" t="s">
        <v>95</v>
      </c>
      <c r="AA967" s="453" t="s">
        <v>30</v>
      </c>
      <c r="AB967" s="542" t="s">
        <v>759</v>
      </c>
      <c r="AC967" s="454"/>
      <c r="AD967" s="672">
        <f>AD968</f>
        <v>10</v>
      </c>
      <c r="AE967" s="634">
        <f t="shared" ref="AE967:AF968" si="296">AE968</f>
        <v>0</v>
      </c>
      <c r="AF967" s="645">
        <f t="shared" si="296"/>
        <v>0</v>
      </c>
      <c r="AH967" s="3"/>
    </row>
    <row r="968" spans="1:34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W968" s="3"/>
      <c r="X968" s="451" t="s">
        <v>120</v>
      </c>
      <c r="Y968" s="452" t="s">
        <v>416</v>
      </c>
      <c r="Z968" s="474" t="s">
        <v>95</v>
      </c>
      <c r="AA968" s="453" t="s">
        <v>30</v>
      </c>
      <c r="AB968" s="542" t="s">
        <v>759</v>
      </c>
      <c r="AC968" s="454">
        <v>200</v>
      </c>
      <c r="AD968" s="672">
        <f>AD969</f>
        <v>10</v>
      </c>
      <c r="AE968" s="634">
        <f t="shared" si="296"/>
        <v>0</v>
      </c>
      <c r="AF968" s="645">
        <f t="shared" si="296"/>
        <v>0</v>
      </c>
      <c r="AH968" s="3"/>
    </row>
    <row r="969" spans="1:34" ht="31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W969" s="3"/>
      <c r="X969" s="451" t="s">
        <v>52</v>
      </c>
      <c r="Y969" s="452" t="s">
        <v>416</v>
      </c>
      <c r="Z969" s="474" t="s">
        <v>95</v>
      </c>
      <c r="AA969" s="453" t="s">
        <v>30</v>
      </c>
      <c r="AB969" s="542" t="s">
        <v>759</v>
      </c>
      <c r="AC969" s="454">
        <v>240</v>
      </c>
      <c r="AD969" s="672">
        <v>10</v>
      </c>
      <c r="AE969" s="634">
        <v>0</v>
      </c>
      <c r="AF969" s="645">
        <v>0</v>
      </c>
      <c r="AH969" s="3"/>
    </row>
    <row r="970" spans="1:34" ht="53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W970" s="3"/>
      <c r="X970" s="662" t="s">
        <v>778</v>
      </c>
      <c r="Y970" s="452" t="s">
        <v>416</v>
      </c>
      <c r="Z970" s="474" t="s">
        <v>95</v>
      </c>
      <c r="AA970" s="453" t="s">
        <v>30</v>
      </c>
      <c r="AB970" s="542" t="s">
        <v>779</v>
      </c>
      <c r="AC970" s="473"/>
      <c r="AD970" s="672">
        <f>AD971</f>
        <v>824960</v>
      </c>
      <c r="AE970" s="634">
        <f t="shared" ref="AE970:AF970" si="297">AE971</f>
        <v>0</v>
      </c>
      <c r="AF970" s="645">
        <f t="shared" si="297"/>
        <v>0</v>
      </c>
      <c r="AH970" s="3"/>
    </row>
    <row r="971" spans="1:34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W971" s="3"/>
      <c r="X971" s="668" t="s">
        <v>153</v>
      </c>
      <c r="Y971" s="452" t="s">
        <v>416</v>
      </c>
      <c r="Z971" s="474" t="s">
        <v>95</v>
      </c>
      <c r="AA971" s="453" t="s">
        <v>30</v>
      </c>
      <c r="AB971" s="542" t="s">
        <v>779</v>
      </c>
      <c r="AC971" s="473" t="s">
        <v>154</v>
      </c>
      <c r="AD971" s="672">
        <f t="shared" si="294"/>
        <v>824960</v>
      </c>
      <c r="AE971" s="634">
        <f t="shared" si="294"/>
        <v>0</v>
      </c>
      <c r="AF971" s="645">
        <f t="shared" si="294"/>
        <v>0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W972" s="3"/>
      <c r="X972" s="451" t="s">
        <v>9</v>
      </c>
      <c r="Y972" s="452" t="s">
        <v>416</v>
      </c>
      <c r="Z972" s="474" t="s">
        <v>95</v>
      </c>
      <c r="AA972" s="453" t="s">
        <v>30</v>
      </c>
      <c r="AB972" s="542" t="s">
        <v>779</v>
      </c>
      <c r="AC972" s="473" t="s">
        <v>155</v>
      </c>
      <c r="AD972" s="672">
        <f>816710.4+8249.6</f>
        <v>824960</v>
      </c>
      <c r="AE972" s="634">
        <v>0</v>
      </c>
      <c r="AF972" s="645">
        <v>0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W973" s="3"/>
      <c r="X973" s="653" t="s">
        <v>94</v>
      </c>
      <c r="Y973" s="448" t="s">
        <v>416</v>
      </c>
      <c r="Z973" s="471" t="s">
        <v>36</v>
      </c>
      <c r="AA973" s="471"/>
      <c r="AB973" s="539"/>
      <c r="AC973" s="450"/>
      <c r="AD973" s="671">
        <f>AD974+AD988+AD981</f>
        <v>17310.8</v>
      </c>
      <c r="AE973" s="633">
        <f t="shared" ref="AE973:AF973" si="298">AE974+AE988+AE981</f>
        <v>33751.9</v>
      </c>
      <c r="AF973" s="644">
        <f t="shared" si="298"/>
        <v>31152</v>
      </c>
      <c r="AG973" s="3"/>
      <c r="AH973" s="3"/>
    </row>
    <row r="974" spans="1:34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W974" s="3"/>
      <c r="X974" s="451" t="s">
        <v>55</v>
      </c>
      <c r="Y974" s="452" t="s">
        <v>416</v>
      </c>
      <c r="Z974" s="453">
        <v>10</v>
      </c>
      <c r="AA974" s="453" t="s">
        <v>29</v>
      </c>
      <c r="AB974" s="541"/>
      <c r="AC974" s="450"/>
      <c r="AD974" s="672">
        <f t="shared" ref="AD974:AF979" si="299">AD975</f>
        <v>1031.5</v>
      </c>
      <c r="AE974" s="634">
        <f t="shared" si="299"/>
        <v>1031.5</v>
      </c>
      <c r="AF974" s="645">
        <f t="shared" si="299"/>
        <v>1031.5</v>
      </c>
      <c r="AG974" s="3"/>
      <c r="AH974" s="3"/>
    </row>
    <row r="975" spans="1:34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W975" s="3"/>
      <c r="X975" s="457" t="s">
        <v>292</v>
      </c>
      <c r="Y975" s="452" t="s">
        <v>416</v>
      </c>
      <c r="Z975" s="453">
        <v>10</v>
      </c>
      <c r="AA975" s="453" t="s">
        <v>29</v>
      </c>
      <c r="AB975" s="542" t="s">
        <v>109</v>
      </c>
      <c r="AC975" s="450"/>
      <c r="AD975" s="672">
        <f t="shared" si="299"/>
        <v>1031.5</v>
      </c>
      <c r="AE975" s="634">
        <f t="shared" si="299"/>
        <v>1031.5</v>
      </c>
      <c r="AF975" s="645">
        <f t="shared" si="299"/>
        <v>1031.5</v>
      </c>
      <c r="AG975" s="3"/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W976" s="3"/>
      <c r="X976" s="457" t="s">
        <v>293</v>
      </c>
      <c r="Y976" s="452" t="s">
        <v>416</v>
      </c>
      <c r="Z976" s="453">
        <v>10</v>
      </c>
      <c r="AA976" s="453" t="s">
        <v>29</v>
      </c>
      <c r="AB976" s="542" t="s">
        <v>118</v>
      </c>
      <c r="AC976" s="450"/>
      <c r="AD976" s="672">
        <f t="shared" si="299"/>
        <v>1031.5</v>
      </c>
      <c r="AE976" s="634">
        <f t="shared" si="299"/>
        <v>1031.5</v>
      </c>
      <c r="AF976" s="645">
        <f t="shared" si="299"/>
        <v>1031.5</v>
      </c>
      <c r="AG976" s="3"/>
      <c r="AH976" s="3"/>
    </row>
    <row r="977" spans="1:34" ht="31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R977" s="3"/>
      <c r="S977" s="3"/>
      <c r="W977" s="3"/>
      <c r="X977" s="457" t="s">
        <v>294</v>
      </c>
      <c r="Y977" s="452" t="s">
        <v>416</v>
      </c>
      <c r="Z977" s="453">
        <v>10</v>
      </c>
      <c r="AA977" s="453" t="s">
        <v>29</v>
      </c>
      <c r="AB977" s="542" t="s">
        <v>465</v>
      </c>
      <c r="AC977" s="450"/>
      <c r="AD977" s="672">
        <f t="shared" si="299"/>
        <v>1031.5</v>
      </c>
      <c r="AE977" s="634">
        <f t="shared" si="299"/>
        <v>1031.5</v>
      </c>
      <c r="AF977" s="645">
        <f t="shared" si="299"/>
        <v>1031.5</v>
      </c>
      <c r="AG977" s="3"/>
      <c r="AH977" s="3"/>
    </row>
    <row r="978" spans="1:34" ht="31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R978" s="3"/>
      <c r="S978" s="3"/>
      <c r="W978" s="3"/>
      <c r="X978" s="466" t="s">
        <v>295</v>
      </c>
      <c r="Y978" s="452" t="s">
        <v>416</v>
      </c>
      <c r="Z978" s="453">
        <v>10</v>
      </c>
      <c r="AA978" s="453" t="s">
        <v>29</v>
      </c>
      <c r="AB978" s="542" t="s">
        <v>464</v>
      </c>
      <c r="AC978" s="450"/>
      <c r="AD978" s="672">
        <f t="shared" si="299"/>
        <v>1031.5</v>
      </c>
      <c r="AE978" s="634">
        <f t="shared" si="299"/>
        <v>1031.5</v>
      </c>
      <c r="AF978" s="645">
        <f t="shared" si="299"/>
        <v>1031.5</v>
      </c>
      <c r="AG978" s="3"/>
      <c r="AH978" s="3"/>
    </row>
    <row r="979" spans="1:34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R979" s="3"/>
      <c r="S979" s="3"/>
      <c r="W979" s="3"/>
      <c r="X979" s="451" t="s">
        <v>97</v>
      </c>
      <c r="Y979" s="452" t="s">
        <v>416</v>
      </c>
      <c r="Z979" s="453">
        <v>10</v>
      </c>
      <c r="AA979" s="453" t="s">
        <v>29</v>
      </c>
      <c r="AB979" s="542" t="s">
        <v>464</v>
      </c>
      <c r="AC979" s="454">
        <v>300</v>
      </c>
      <c r="AD979" s="672">
        <f t="shared" si="299"/>
        <v>1031.5</v>
      </c>
      <c r="AE979" s="634">
        <f t="shared" si="299"/>
        <v>1031.5</v>
      </c>
      <c r="AF979" s="645">
        <f t="shared" si="299"/>
        <v>1031.5</v>
      </c>
      <c r="AG979" s="3"/>
      <c r="AH979" s="3"/>
    </row>
    <row r="980" spans="1:34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R980" s="3"/>
      <c r="S980" s="3"/>
      <c r="W980" s="3"/>
      <c r="X980" s="451" t="s">
        <v>40</v>
      </c>
      <c r="Y980" s="452" t="s">
        <v>416</v>
      </c>
      <c r="Z980" s="453">
        <v>10</v>
      </c>
      <c r="AA980" s="453" t="s">
        <v>29</v>
      </c>
      <c r="AB980" s="542" t="s">
        <v>464</v>
      </c>
      <c r="AC980" s="454">
        <v>320</v>
      </c>
      <c r="AD980" s="672">
        <v>1031.5</v>
      </c>
      <c r="AE980" s="634">
        <v>1031.5</v>
      </c>
      <c r="AF980" s="645">
        <v>1031.5</v>
      </c>
      <c r="AG980" s="3"/>
      <c r="AH980" s="3"/>
    </row>
    <row r="981" spans="1:34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R981" s="3"/>
      <c r="S981" s="3"/>
      <c r="W981" s="3"/>
      <c r="X981" s="451" t="s">
        <v>58</v>
      </c>
      <c r="Y981" s="452" t="s">
        <v>416</v>
      </c>
      <c r="Z981" s="453">
        <v>10</v>
      </c>
      <c r="AA981" s="453" t="s">
        <v>7</v>
      </c>
      <c r="AB981" s="542"/>
      <c r="AC981" s="454"/>
      <c r="AD981" s="672">
        <f t="shared" ref="AD981:AD986" si="300">AD982</f>
        <v>0</v>
      </c>
      <c r="AE981" s="634">
        <f t="shared" ref="AE981:AF983" si="301">AE982</f>
        <v>2990</v>
      </c>
      <c r="AF981" s="645">
        <f t="shared" si="301"/>
        <v>0</v>
      </c>
      <c r="AG981" s="3"/>
      <c r="AH981" s="3"/>
    </row>
    <row r="982" spans="1:34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R982" s="3"/>
      <c r="S982" s="3"/>
      <c r="W982" s="3"/>
      <c r="X982" s="457" t="s">
        <v>181</v>
      </c>
      <c r="Y982" s="452" t="s">
        <v>416</v>
      </c>
      <c r="Z982" s="453">
        <v>10</v>
      </c>
      <c r="AA982" s="453" t="s">
        <v>7</v>
      </c>
      <c r="AB982" s="542" t="s">
        <v>116</v>
      </c>
      <c r="AC982" s="454"/>
      <c r="AD982" s="672">
        <f t="shared" si="300"/>
        <v>0</v>
      </c>
      <c r="AE982" s="634">
        <f t="shared" si="301"/>
        <v>2990</v>
      </c>
      <c r="AF982" s="645">
        <f t="shared" si="301"/>
        <v>0</v>
      </c>
      <c r="AG982" s="3"/>
      <c r="AH982" s="3"/>
    </row>
    <row r="983" spans="1:34" ht="31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R983" s="3"/>
      <c r="S983" s="3"/>
      <c r="W983" s="3"/>
      <c r="X983" s="451" t="s">
        <v>671</v>
      </c>
      <c r="Y983" s="452" t="s">
        <v>416</v>
      </c>
      <c r="Z983" s="453">
        <v>10</v>
      </c>
      <c r="AA983" s="453" t="s">
        <v>7</v>
      </c>
      <c r="AB983" s="542" t="s">
        <v>672</v>
      </c>
      <c r="AC983" s="454"/>
      <c r="AD983" s="672">
        <f t="shared" si="300"/>
        <v>0</v>
      </c>
      <c r="AE983" s="634">
        <f t="shared" si="301"/>
        <v>2990</v>
      </c>
      <c r="AF983" s="645">
        <f t="shared" si="301"/>
        <v>0</v>
      </c>
      <c r="AG983" s="3"/>
      <c r="AH983" s="3"/>
    </row>
    <row r="984" spans="1:34" ht="47.2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R984" s="3"/>
      <c r="S984" s="3"/>
      <c r="W984" s="3"/>
      <c r="X984" s="451" t="s">
        <v>674</v>
      </c>
      <c r="Y984" s="452" t="s">
        <v>416</v>
      </c>
      <c r="Z984" s="453">
        <v>10</v>
      </c>
      <c r="AA984" s="453" t="s">
        <v>7</v>
      </c>
      <c r="AB984" s="542" t="s">
        <v>673</v>
      </c>
      <c r="AC984" s="454"/>
      <c r="AD984" s="672">
        <f t="shared" si="300"/>
        <v>0</v>
      </c>
      <c r="AE984" s="634">
        <f t="shared" ref="AE984:AF984" si="302">AE985</f>
        <v>2990</v>
      </c>
      <c r="AF984" s="645">
        <f t="shared" si="302"/>
        <v>0</v>
      </c>
      <c r="AG984" s="3"/>
      <c r="AH984" s="3"/>
    </row>
    <row r="985" spans="1:34" ht="47.2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R985" s="3"/>
      <c r="S985" s="3"/>
      <c r="W985" s="3"/>
      <c r="X985" s="451" t="s">
        <v>676</v>
      </c>
      <c r="Y985" s="452" t="s">
        <v>416</v>
      </c>
      <c r="Z985" s="453">
        <v>10</v>
      </c>
      <c r="AA985" s="453" t="s">
        <v>7</v>
      </c>
      <c r="AB985" s="542" t="s">
        <v>675</v>
      </c>
      <c r="AC985" s="454"/>
      <c r="AD985" s="672">
        <f t="shared" si="300"/>
        <v>0</v>
      </c>
      <c r="AE985" s="634">
        <f t="shared" ref="AE985:AF985" si="303">AE986</f>
        <v>2990</v>
      </c>
      <c r="AF985" s="645">
        <f t="shared" si="303"/>
        <v>0</v>
      </c>
      <c r="AG985" s="3"/>
      <c r="AH985" s="3"/>
    </row>
    <row r="986" spans="1:3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R986" s="3"/>
      <c r="S986" s="3"/>
      <c r="W986" s="3"/>
      <c r="X986" s="451" t="s">
        <v>97</v>
      </c>
      <c r="Y986" s="452" t="s">
        <v>416</v>
      </c>
      <c r="Z986" s="453">
        <v>10</v>
      </c>
      <c r="AA986" s="453" t="s">
        <v>7</v>
      </c>
      <c r="AB986" s="542" t="s">
        <v>675</v>
      </c>
      <c r="AC986" s="454">
        <v>300</v>
      </c>
      <c r="AD986" s="672">
        <f t="shared" si="300"/>
        <v>0</v>
      </c>
      <c r="AE986" s="634">
        <f t="shared" ref="AE986:AF986" si="304">AE987</f>
        <v>2990</v>
      </c>
      <c r="AF986" s="645">
        <f t="shared" si="304"/>
        <v>0</v>
      </c>
      <c r="AG986" s="3"/>
      <c r="AH986" s="3"/>
    </row>
    <row r="987" spans="1:34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R987" s="3"/>
      <c r="S987" s="3"/>
      <c r="W987" s="3"/>
      <c r="X987" s="451" t="s">
        <v>40</v>
      </c>
      <c r="Y987" s="452" t="s">
        <v>416</v>
      </c>
      <c r="Z987" s="453">
        <v>10</v>
      </c>
      <c r="AA987" s="453" t="s">
        <v>7</v>
      </c>
      <c r="AB987" s="542" t="s">
        <v>675</v>
      </c>
      <c r="AC987" s="454">
        <v>320</v>
      </c>
      <c r="AD987" s="672">
        <v>0</v>
      </c>
      <c r="AE987" s="634">
        <v>2990</v>
      </c>
      <c r="AF987" s="645">
        <v>0</v>
      </c>
      <c r="AG987" s="3"/>
      <c r="AH987" s="3"/>
    </row>
    <row r="988" spans="1:34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R988" s="3"/>
      <c r="S988" s="3"/>
      <c r="W988" s="3"/>
      <c r="X988" s="451" t="s">
        <v>31</v>
      </c>
      <c r="Y988" s="452" t="s">
        <v>416</v>
      </c>
      <c r="Z988" s="453">
        <v>10</v>
      </c>
      <c r="AA988" s="453" t="s">
        <v>49</v>
      </c>
      <c r="AB988" s="541"/>
      <c r="AC988" s="454"/>
      <c r="AD988" s="672">
        <f t="shared" ref="AD988:AF990" si="305">AD989</f>
        <v>16279.3</v>
      </c>
      <c r="AE988" s="634">
        <f t="shared" si="305"/>
        <v>29730.400000000001</v>
      </c>
      <c r="AF988" s="645">
        <f t="shared" si="305"/>
        <v>30120.5</v>
      </c>
      <c r="AG988" s="3"/>
      <c r="AH988" s="3"/>
    </row>
    <row r="989" spans="1:34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R989" s="3"/>
      <c r="S989" s="3"/>
      <c r="W989" s="3"/>
      <c r="X989" s="457" t="s">
        <v>181</v>
      </c>
      <c r="Y989" s="452" t="s">
        <v>416</v>
      </c>
      <c r="Z989" s="453">
        <v>10</v>
      </c>
      <c r="AA989" s="453" t="s">
        <v>49</v>
      </c>
      <c r="AB989" s="542" t="s">
        <v>116</v>
      </c>
      <c r="AC989" s="454"/>
      <c r="AD989" s="672">
        <f t="shared" si="305"/>
        <v>16279.3</v>
      </c>
      <c r="AE989" s="634">
        <f t="shared" si="305"/>
        <v>29730.400000000001</v>
      </c>
      <c r="AF989" s="645">
        <f t="shared" si="305"/>
        <v>30120.5</v>
      </c>
      <c r="AG989" s="3"/>
      <c r="AH989" s="3"/>
    </row>
    <row r="990" spans="1:34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R990" s="3"/>
      <c r="S990" s="3"/>
      <c r="W990" s="3"/>
      <c r="X990" s="457" t="s">
        <v>180</v>
      </c>
      <c r="Y990" s="452" t="s">
        <v>416</v>
      </c>
      <c r="Z990" s="453">
        <v>10</v>
      </c>
      <c r="AA990" s="453" t="s">
        <v>49</v>
      </c>
      <c r="AB990" s="542" t="s">
        <v>143</v>
      </c>
      <c r="AC990" s="454"/>
      <c r="AD990" s="672">
        <f t="shared" si="305"/>
        <v>16279.3</v>
      </c>
      <c r="AE990" s="634">
        <f t="shared" si="305"/>
        <v>29730.400000000001</v>
      </c>
      <c r="AF990" s="645">
        <f t="shared" si="305"/>
        <v>30120.5</v>
      </c>
      <c r="AG990" s="3"/>
      <c r="AH990" s="3"/>
    </row>
    <row r="991" spans="1:34" ht="47.2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R991" s="3"/>
      <c r="S991" s="3"/>
      <c r="W991" s="3"/>
      <c r="X991" s="457" t="s">
        <v>425</v>
      </c>
      <c r="Y991" s="452" t="s">
        <v>416</v>
      </c>
      <c r="Z991" s="453">
        <v>10</v>
      </c>
      <c r="AA991" s="453" t="s">
        <v>49</v>
      </c>
      <c r="AB991" s="542" t="s">
        <v>142</v>
      </c>
      <c r="AC991" s="454"/>
      <c r="AD991" s="672">
        <f>AD995+AD992</f>
        <v>16279.3</v>
      </c>
      <c r="AE991" s="634">
        <f>AE995</f>
        <v>29730.400000000001</v>
      </c>
      <c r="AF991" s="645">
        <f>AF995</f>
        <v>30120.5</v>
      </c>
      <c r="AG991" s="3"/>
      <c r="AH991" s="3"/>
    </row>
    <row r="992" spans="1:34" ht="31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R992" s="3"/>
      <c r="S992" s="3"/>
      <c r="W992" s="3"/>
      <c r="X992" s="457" t="s">
        <v>835</v>
      </c>
      <c r="Y992" s="452" t="s">
        <v>416</v>
      </c>
      <c r="Z992" s="453">
        <v>10</v>
      </c>
      <c r="AA992" s="453" t="s">
        <v>49</v>
      </c>
      <c r="AB992" s="542" t="s">
        <v>836</v>
      </c>
      <c r="AC992" s="454"/>
      <c r="AD992" s="672">
        <f>AD993</f>
        <v>561.29999999999995</v>
      </c>
      <c r="AE992" s="672">
        <f t="shared" ref="AE992:AF993" si="306">AE993</f>
        <v>0</v>
      </c>
      <c r="AF992" s="672">
        <f t="shared" si="306"/>
        <v>0</v>
      </c>
      <c r="AG992" s="3"/>
      <c r="AH992" s="3"/>
    </row>
    <row r="993" spans="1:3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R993" s="3"/>
      <c r="S993" s="3"/>
      <c r="W993" s="3"/>
      <c r="X993" s="451" t="s">
        <v>97</v>
      </c>
      <c r="Y993" s="452" t="s">
        <v>416</v>
      </c>
      <c r="Z993" s="453">
        <v>10</v>
      </c>
      <c r="AA993" s="453" t="s">
        <v>49</v>
      </c>
      <c r="AB993" s="542" t="s">
        <v>836</v>
      </c>
      <c r="AC993" s="454">
        <v>300</v>
      </c>
      <c r="AD993" s="672">
        <f>AD994</f>
        <v>561.29999999999995</v>
      </c>
      <c r="AE993" s="672">
        <f t="shared" si="306"/>
        <v>0</v>
      </c>
      <c r="AF993" s="672">
        <f t="shared" si="306"/>
        <v>0</v>
      </c>
      <c r="AG993" s="3"/>
      <c r="AH993" s="3"/>
    </row>
    <row r="994" spans="1:3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R994" s="3"/>
      <c r="S994" s="3"/>
      <c r="W994" s="3"/>
      <c r="X994" s="451" t="s">
        <v>24</v>
      </c>
      <c r="Y994" s="452" t="s">
        <v>416</v>
      </c>
      <c r="Z994" s="453">
        <v>10</v>
      </c>
      <c r="AA994" s="453" t="s">
        <v>49</v>
      </c>
      <c r="AB994" s="542" t="s">
        <v>836</v>
      </c>
      <c r="AC994" s="454">
        <v>320</v>
      </c>
      <c r="AD994" s="672">
        <v>561.29999999999995</v>
      </c>
      <c r="AE994" s="634">
        <v>0</v>
      </c>
      <c r="AF994" s="645">
        <v>0</v>
      </c>
      <c r="AG994" s="3"/>
      <c r="AH994" s="3"/>
    </row>
    <row r="995" spans="1:3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R995" s="3"/>
      <c r="S995" s="3"/>
      <c r="W995" s="3"/>
      <c r="X995" s="457" t="s">
        <v>178</v>
      </c>
      <c r="Y995" s="452" t="s">
        <v>416</v>
      </c>
      <c r="Z995" s="453">
        <v>10</v>
      </c>
      <c r="AA995" s="453" t="s">
        <v>49</v>
      </c>
      <c r="AB995" s="542" t="s">
        <v>179</v>
      </c>
      <c r="AC995" s="454"/>
      <c r="AD995" s="672">
        <f t="shared" ref="AD995:AF996" si="307">AD996</f>
        <v>15718</v>
      </c>
      <c r="AE995" s="634">
        <f t="shared" si="307"/>
        <v>29730.400000000001</v>
      </c>
      <c r="AF995" s="645">
        <f t="shared" si="307"/>
        <v>30120.5</v>
      </c>
      <c r="AG995" s="3"/>
      <c r="AH995" s="3"/>
    </row>
    <row r="996" spans="1:3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R996" s="3"/>
      <c r="S996" s="3"/>
      <c r="W996" s="3"/>
      <c r="X996" s="451" t="s">
        <v>97</v>
      </c>
      <c r="Y996" s="452" t="s">
        <v>416</v>
      </c>
      <c r="Z996" s="453">
        <v>10</v>
      </c>
      <c r="AA996" s="453" t="s">
        <v>49</v>
      </c>
      <c r="AB996" s="542" t="s">
        <v>179</v>
      </c>
      <c r="AC996" s="454">
        <v>300</v>
      </c>
      <c r="AD996" s="672">
        <f t="shared" si="307"/>
        <v>15718</v>
      </c>
      <c r="AE996" s="634">
        <f t="shared" si="307"/>
        <v>29730.400000000001</v>
      </c>
      <c r="AF996" s="645">
        <f t="shared" si="307"/>
        <v>30120.5</v>
      </c>
      <c r="AG996" s="3"/>
      <c r="AH996" s="3"/>
    </row>
    <row r="997" spans="1:3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R997" s="3"/>
      <c r="S997" s="3"/>
      <c r="W997" s="3"/>
      <c r="X997" s="451" t="s">
        <v>24</v>
      </c>
      <c r="Y997" s="452" t="s">
        <v>416</v>
      </c>
      <c r="Z997" s="453">
        <v>10</v>
      </c>
      <c r="AA997" s="453" t="s">
        <v>49</v>
      </c>
      <c r="AB997" s="542" t="s">
        <v>179</v>
      </c>
      <c r="AC997" s="454">
        <v>320</v>
      </c>
      <c r="AD997" s="672">
        <f>8688+7030</f>
        <v>15718</v>
      </c>
      <c r="AE997" s="634">
        <f>16426.2+13304.2</f>
        <v>29730.400000000001</v>
      </c>
      <c r="AF997" s="648">
        <f>16695+13425.5</f>
        <v>30120.5</v>
      </c>
      <c r="AG997" s="3"/>
      <c r="AH997" s="3"/>
    </row>
    <row r="998" spans="1:3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R998" s="3"/>
      <c r="S998" s="3"/>
      <c r="W998" s="3"/>
      <c r="X998" s="653" t="s">
        <v>13</v>
      </c>
      <c r="Y998" s="448" t="s">
        <v>416</v>
      </c>
      <c r="Z998" s="480">
        <v>11</v>
      </c>
      <c r="AA998" s="471"/>
      <c r="AB998" s="539"/>
      <c r="AC998" s="454"/>
      <c r="AD998" s="672">
        <f>AD999</f>
        <v>5405</v>
      </c>
      <c r="AE998" s="634">
        <f t="shared" ref="AE998:AF999" si="308">AE999</f>
        <v>0</v>
      </c>
      <c r="AF998" s="645">
        <f t="shared" si="308"/>
        <v>0</v>
      </c>
      <c r="AG998" s="3"/>
      <c r="AH998" s="3"/>
    </row>
    <row r="999" spans="1:3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R999" s="3"/>
      <c r="S999" s="3"/>
      <c r="W999" s="3"/>
      <c r="X999" s="451" t="s">
        <v>35</v>
      </c>
      <c r="Y999" s="467" t="s">
        <v>416</v>
      </c>
      <c r="Z999" s="453">
        <v>11</v>
      </c>
      <c r="AA999" s="453" t="s">
        <v>30</v>
      </c>
      <c r="AB999" s="542"/>
      <c r="AC999" s="454"/>
      <c r="AD999" s="672">
        <f>AD1000</f>
        <v>5405</v>
      </c>
      <c r="AE999" s="634">
        <f t="shared" si="308"/>
        <v>0</v>
      </c>
      <c r="AF999" s="645">
        <f t="shared" si="308"/>
        <v>0</v>
      </c>
      <c r="AG999" s="3"/>
      <c r="AH999" s="3"/>
    </row>
    <row r="1000" spans="1:35" s="96" customFormat="1" x14ac:dyDescent="0.25">
      <c r="A1000" s="68"/>
      <c r="B1000" s="69"/>
      <c r="C1000" s="69"/>
      <c r="D1000" s="71"/>
      <c r="E1000" s="72"/>
      <c r="F1000" s="72"/>
      <c r="G1000" s="492"/>
      <c r="H1000" s="492"/>
      <c r="I1000" s="492"/>
      <c r="J1000" s="492"/>
      <c r="K1000" s="492"/>
      <c r="L1000" s="492"/>
      <c r="M1000" s="492"/>
      <c r="N1000" s="492"/>
      <c r="O1000" s="74"/>
      <c r="P1000" s="492"/>
      <c r="Q1000" s="75"/>
      <c r="R1000" s="95"/>
      <c r="S1000" s="95"/>
      <c r="T1000" s="95"/>
      <c r="U1000" s="95"/>
      <c r="V1000" s="95"/>
      <c r="W1000" s="95"/>
      <c r="X1000" s="459" t="s">
        <v>157</v>
      </c>
      <c r="Y1000" s="452" t="s">
        <v>416</v>
      </c>
      <c r="Z1000" s="453">
        <v>11</v>
      </c>
      <c r="AA1000" s="453" t="s">
        <v>30</v>
      </c>
      <c r="AB1000" s="542" t="s">
        <v>115</v>
      </c>
      <c r="AC1000" s="570"/>
      <c r="AD1000" s="672">
        <f t="shared" ref="AD1000:AF1002" si="309">AD1001</f>
        <v>5405</v>
      </c>
      <c r="AE1000" s="634">
        <f t="shared" si="309"/>
        <v>0</v>
      </c>
      <c r="AF1000" s="645">
        <f t="shared" si="309"/>
        <v>0</v>
      </c>
      <c r="AG1000" s="506"/>
      <c r="AH1000" s="506"/>
      <c r="AI1000" s="502"/>
    </row>
    <row r="1001" spans="1:35" s="96" customFormat="1" x14ac:dyDescent="0.25">
      <c r="A1001" s="68"/>
      <c r="B1001" s="69"/>
      <c r="C1001" s="69"/>
      <c r="D1001" s="71"/>
      <c r="E1001" s="72"/>
      <c r="F1001" s="72"/>
      <c r="G1001" s="492"/>
      <c r="H1001" s="492"/>
      <c r="I1001" s="492"/>
      <c r="J1001" s="492"/>
      <c r="K1001" s="492"/>
      <c r="L1001" s="492"/>
      <c r="M1001" s="492"/>
      <c r="N1001" s="492"/>
      <c r="O1001" s="74"/>
      <c r="P1001" s="492"/>
      <c r="Q1001" s="75"/>
      <c r="R1001" s="95"/>
      <c r="S1001" s="95"/>
      <c r="T1001" s="95"/>
      <c r="U1001" s="95"/>
      <c r="V1001" s="95"/>
      <c r="W1001" s="95"/>
      <c r="X1001" s="459" t="s">
        <v>158</v>
      </c>
      <c r="Y1001" s="452" t="s">
        <v>416</v>
      </c>
      <c r="Z1001" s="453">
        <v>11</v>
      </c>
      <c r="AA1001" s="453" t="s">
        <v>30</v>
      </c>
      <c r="AB1001" s="542" t="s">
        <v>119</v>
      </c>
      <c r="AC1001" s="570"/>
      <c r="AD1001" s="672">
        <f t="shared" si="309"/>
        <v>5405</v>
      </c>
      <c r="AE1001" s="634">
        <f t="shared" si="309"/>
        <v>0</v>
      </c>
      <c r="AF1001" s="645">
        <f t="shared" si="309"/>
        <v>0</v>
      </c>
      <c r="AG1001" s="506"/>
      <c r="AH1001" s="506"/>
      <c r="AI1001" s="502"/>
    </row>
    <row r="1002" spans="1:3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R1002" s="3"/>
      <c r="S1002" s="3"/>
      <c r="W1002" s="3"/>
      <c r="X1002" s="451" t="s">
        <v>686</v>
      </c>
      <c r="Y1002" s="452" t="s">
        <v>416</v>
      </c>
      <c r="Z1002" s="453">
        <v>11</v>
      </c>
      <c r="AA1002" s="453" t="s">
        <v>30</v>
      </c>
      <c r="AB1002" s="542" t="s">
        <v>687</v>
      </c>
      <c r="AC1002" s="454"/>
      <c r="AD1002" s="672">
        <f>AD1003</f>
        <v>5405</v>
      </c>
      <c r="AE1002" s="634">
        <f t="shared" si="309"/>
        <v>0</v>
      </c>
      <c r="AF1002" s="645">
        <f t="shared" si="309"/>
        <v>0</v>
      </c>
      <c r="AG1002" s="3"/>
      <c r="AH1002" s="3"/>
    </row>
    <row r="1003" spans="1:3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R1003" s="3"/>
      <c r="S1003" s="3"/>
      <c r="W1003" s="3"/>
      <c r="X1003" s="451" t="s">
        <v>688</v>
      </c>
      <c r="Y1003" s="452" t="s">
        <v>416</v>
      </c>
      <c r="Z1003" s="453">
        <v>11</v>
      </c>
      <c r="AA1003" s="453" t="s">
        <v>30</v>
      </c>
      <c r="AB1003" s="542" t="s">
        <v>689</v>
      </c>
      <c r="AC1003" s="454"/>
      <c r="AD1003" s="672">
        <f>AD1004</f>
        <v>5405</v>
      </c>
      <c r="AE1003" s="634">
        <f t="shared" ref="AE1003:AF1003" si="310">AE1004</f>
        <v>0</v>
      </c>
      <c r="AF1003" s="645">
        <f t="shared" si="310"/>
        <v>0</v>
      </c>
      <c r="AG1003" s="3"/>
      <c r="AH1003" s="3"/>
    </row>
    <row r="1004" spans="1:3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R1004" s="3"/>
      <c r="S1004" s="3"/>
      <c r="W1004" s="3"/>
      <c r="X1004" s="451" t="s">
        <v>120</v>
      </c>
      <c r="Y1004" s="452" t="s">
        <v>416</v>
      </c>
      <c r="Z1004" s="453">
        <v>11</v>
      </c>
      <c r="AA1004" s="453" t="s">
        <v>30</v>
      </c>
      <c r="AB1004" s="542" t="s">
        <v>689</v>
      </c>
      <c r="AC1004" s="454">
        <v>200</v>
      </c>
      <c r="AD1004" s="672">
        <f>AD1005</f>
        <v>5405</v>
      </c>
      <c r="AE1004" s="634">
        <f t="shared" ref="AE1004:AF1004" si="311">AE1005</f>
        <v>0</v>
      </c>
      <c r="AF1004" s="645">
        <f t="shared" si="311"/>
        <v>0</v>
      </c>
      <c r="AG1004" s="3"/>
      <c r="AH1004" s="3"/>
    </row>
    <row r="1005" spans="1:35" ht="24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R1005" s="3"/>
      <c r="S1005" s="3"/>
      <c r="W1005" s="3"/>
      <c r="X1005" s="451" t="s">
        <v>52</v>
      </c>
      <c r="Y1005" s="452" t="s">
        <v>416</v>
      </c>
      <c r="Z1005" s="453">
        <v>11</v>
      </c>
      <c r="AA1005" s="453" t="s">
        <v>30</v>
      </c>
      <c r="AB1005" s="542" t="s">
        <v>689</v>
      </c>
      <c r="AC1005" s="454">
        <v>240</v>
      </c>
      <c r="AD1005" s="672">
        <v>5405</v>
      </c>
      <c r="AE1005" s="634">
        <v>0</v>
      </c>
      <c r="AF1005" s="648">
        <v>0</v>
      </c>
      <c r="AG1005" s="3"/>
      <c r="AH1005" s="3"/>
    </row>
    <row r="1006" spans="1:35" ht="18.7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R1006" s="3"/>
      <c r="S1006" s="3"/>
      <c r="W1006" s="3"/>
      <c r="X1006" s="653" t="s">
        <v>418</v>
      </c>
      <c r="Y1006" s="448">
        <v>904</v>
      </c>
      <c r="Z1006" s="481"/>
      <c r="AA1006" s="477"/>
      <c r="AB1006" s="541"/>
      <c r="AC1006" s="573"/>
      <c r="AD1006" s="671">
        <f>AD1007+AD1029</f>
        <v>11879.400000000001</v>
      </c>
      <c r="AE1006" s="633">
        <f>AE1007+AE1029</f>
        <v>11471.400000000001</v>
      </c>
      <c r="AF1006" s="644">
        <f>AF1007+AF1029</f>
        <v>11476.400000000001</v>
      </c>
      <c r="AG1006" s="3"/>
      <c r="AH1006" s="3"/>
    </row>
    <row r="1007" spans="1:3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R1007" s="3"/>
      <c r="S1007" s="3"/>
      <c r="W1007" s="3"/>
      <c r="X1007" s="653" t="s">
        <v>25</v>
      </c>
      <c r="Y1007" s="448">
        <v>904</v>
      </c>
      <c r="Z1007" s="449" t="s">
        <v>29</v>
      </c>
      <c r="AA1007" s="540"/>
      <c r="AB1007" s="539"/>
      <c r="AC1007" s="476"/>
      <c r="AD1007" s="671">
        <f t="shared" ref="AD1007:AF1015" si="312">AD1008</f>
        <v>11246.400000000001</v>
      </c>
      <c r="AE1007" s="633">
        <f t="shared" si="312"/>
        <v>10838.400000000001</v>
      </c>
      <c r="AF1007" s="644">
        <f t="shared" si="312"/>
        <v>10843.400000000001</v>
      </c>
      <c r="AG1007" s="3"/>
      <c r="AH1007" s="3"/>
    </row>
    <row r="1008" spans="1:35" ht="31.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R1008" s="3"/>
      <c r="S1008" s="3"/>
      <c r="W1008" s="3"/>
      <c r="X1008" s="451" t="s">
        <v>411</v>
      </c>
      <c r="Y1008" s="452">
        <v>904</v>
      </c>
      <c r="Z1008" s="453" t="s">
        <v>29</v>
      </c>
      <c r="AA1008" s="453" t="s">
        <v>95</v>
      </c>
      <c r="AB1008" s="539"/>
      <c r="AC1008" s="476"/>
      <c r="AD1008" s="672">
        <f>AD1009+AD1015</f>
        <v>11246.400000000001</v>
      </c>
      <c r="AE1008" s="634">
        <f t="shared" ref="AE1008:AF1008" si="313">AE1009+AE1015</f>
        <v>10838.400000000001</v>
      </c>
      <c r="AF1008" s="645">
        <f t="shared" si="313"/>
        <v>10843.400000000001</v>
      </c>
      <c r="AG1008" s="3"/>
      <c r="AH1008" s="3"/>
    </row>
    <row r="1009" spans="1:34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R1009" s="3"/>
      <c r="S1009" s="3"/>
      <c r="W1009" s="3"/>
      <c r="X1009" s="255" t="s">
        <v>186</v>
      </c>
      <c r="Y1009" s="452">
        <v>904</v>
      </c>
      <c r="Z1009" s="453" t="s">
        <v>29</v>
      </c>
      <c r="AA1009" s="453" t="s">
        <v>95</v>
      </c>
      <c r="AB1009" s="542" t="s">
        <v>112</v>
      </c>
      <c r="AC1009" s="476"/>
      <c r="AD1009" s="672">
        <f>AD1010</f>
        <v>70</v>
      </c>
      <c r="AE1009" s="634">
        <f t="shared" ref="AE1009:AF1009" si="314">AE1010</f>
        <v>75</v>
      </c>
      <c r="AF1009" s="645">
        <f t="shared" si="314"/>
        <v>80</v>
      </c>
      <c r="AG1009" s="3"/>
      <c r="AH1009" s="3"/>
    </row>
    <row r="1010" spans="1:34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R1010" s="3"/>
      <c r="S1010" s="3"/>
      <c r="W1010" s="3"/>
      <c r="X1010" s="255" t="s">
        <v>189</v>
      </c>
      <c r="Y1010" s="452">
        <v>904</v>
      </c>
      <c r="Z1010" s="453" t="s">
        <v>29</v>
      </c>
      <c r="AA1010" s="453" t="s">
        <v>95</v>
      </c>
      <c r="AB1010" s="542" t="s">
        <v>190</v>
      </c>
      <c r="AC1010" s="476"/>
      <c r="AD1010" s="672">
        <f>AD1011</f>
        <v>70</v>
      </c>
      <c r="AE1010" s="634">
        <f t="shared" ref="AE1010:AF1010" si="315">AE1011</f>
        <v>75</v>
      </c>
      <c r="AF1010" s="645">
        <f t="shared" si="315"/>
        <v>80</v>
      </c>
      <c r="AG1010" s="3"/>
      <c r="AH1010" s="3"/>
    </row>
    <row r="1011" spans="1:34" ht="31.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R1011" s="3"/>
      <c r="S1011" s="3"/>
      <c r="W1011" s="3"/>
      <c r="X1011" s="451" t="s">
        <v>534</v>
      </c>
      <c r="Y1011" s="452">
        <v>904</v>
      </c>
      <c r="Z1011" s="453" t="s">
        <v>29</v>
      </c>
      <c r="AA1011" s="453" t="s">
        <v>95</v>
      </c>
      <c r="AB1011" s="542" t="s">
        <v>535</v>
      </c>
      <c r="AC1011" s="454"/>
      <c r="AD1011" s="672">
        <f>AD1012</f>
        <v>70</v>
      </c>
      <c r="AE1011" s="634">
        <f t="shared" ref="AE1011:AF1011" si="316">AE1012</f>
        <v>75</v>
      </c>
      <c r="AF1011" s="645">
        <f t="shared" si="316"/>
        <v>80</v>
      </c>
      <c r="AG1011" s="3"/>
      <c r="AH1011" s="3"/>
    </row>
    <row r="1012" spans="1:34" ht="78.7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R1012" s="3"/>
      <c r="S1012" s="3"/>
      <c r="W1012" s="3"/>
      <c r="X1012" s="451" t="s">
        <v>406</v>
      </c>
      <c r="Y1012" s="452">
        <v>904</v>
      </c>
      <c r="Z1012" s="453" t="s">
        <v>29</v>
      </c>
      <c r="AA1012" s="453" t="s">
        <v>95</v>
      </c>
      <c r="AB1012" s="542" t="s">
        <v>536</v>
      </c>
      <c r="AC1012" s="454"/>
      <c r="AD1012" s="672">
        <f>AD1013</f>
        <v>70</v>
      </c>
      <c r="AE1012" s="634">
        <f t="shared" ref="AE1012:AF1012" si="317">AE1013</f>
        <v>75</v>
      </c>
      <c r="AF1012" s="645">
        <f t="shared" si="317"/>
        <v>80</v>
      </c>
      <c r="AG1012" s="3"/>
      <c r="AH1012" s="3"/>
    </row>
    <row r="1013" spans="1:34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R1013" s="3"/>
      <c r="S1013" s="3"/>
      <c r="W1013" s="3"/>
      <c r="X1013" s="451" t="s">
        <v>120</v>
      </c>
      <c r="Y1013" s="452">
        <v>904</v>
      </c>
      <c r="Z1013" s="453" t="s">
        <v>29</v>
      </c>
      <c r="AA1013" s="453" t="s">
        <v>95</v>
      </c>
      <c r="AB1013" s="542" t="s">
        <v>536</v>
      </c>
      <c r="AC1013" s="454">
        <v>200</v>
      </c>
      <c r="AD1013" s="672">
        <f>AD1014</f>
        <v>70</v>
      </c>
      <c r="AE1013" s="634">
        <f t="shared" ref="AE1013:AF1013" si="318">AE1014</f>
        <v>75</v>
      </c>
      <c r="AF1013" s="645">
        <f t="shared" si="318"/>
        <v>80</v>
      </c>
      <c r="AG1013" s="3"/>
      <c r="AH1013" s="3"/>
    </row>
    <row r="1014" spans="1:34" ht="19.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R1014" s="3"/>
      <c r="S1014" s="3"/>
      <c r="W1014" s="3"/>
      <c r="X1014" s="451" t="s">
        <v>52</v>
      </c>
      <c r="Y1014" s="452">
        <v>904</v>
      </c>
      <c r="Z1014" s="453" t="s">
        <v>29</v>
      </c>
      <c r="AA1014" s="453" t="s">
        <v>95</v>
      </c>
      <c r="AB1014" s="542" t="s">
        <v>536</v>
      </c>
      <c r="AC1014" s="454">
        <v>240</v>
      </c>
      <c r="AD1014" s="672">
        <v>70</v>
      </c>
      <c r="AE1014" s="634">
        <v>75</v>
      </c>
      <c r="AF1014" s="645">
        <v>80</v>
      </c>
      <c r="AG1014" s="3"/>
      <c r="AH1014" s="3"/>
    </row>
    <row r="1015" spans="1:34" ht="17.2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R1015" s="3"/>
      <c r="S1015" s="3"/>
      <c r="W1015" s="3"/>
      <c r="X1015" s="457" t="s">
        <v>274</v>
      </c>
      <c r="Y1015" s="452">
        <v>904</v>
      </c>
      <c r="Z1015" s="453" t="s">
        <v>29</v>
      </c>
      <c r="AA1015" s="453" t="s">
        <v>95</v>
      </c>
      <c r="AB1015" s="542" t="s">
        <v>99</v>
      </c>
      <c r="AC1015" s="454"/>
      <c r="AD1015" s="672">
        <f t="shared" si="312"/>
        <v>11176.400000000001</v>
      </c>
      <c r="AE1015" s="634">
        <f t="shared" si="312"/>
        <v>10763.400000000001</v>
      </c>
      <c r="AF1015" s="645">
        <f t="shared" si="312"/>
        <v>10763.400000000001</v>
      </c>
      <c r="AG1015" s="3"/>
      <c r="AH1015" s="3"/>
    </row>
    <row r="1016" spans="1:34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R1016" s="3"/>
      <c r="S1016" s="3"/>
      <c r="W1016" s="3"/>
      <c r="X1016" s="465" t="s">
        <v>272</v>
      </c>
      <c r="Y1016" s="452">
        <v>904</v>
      </c>
      <c r="Z1016" s="453" t="s">
        <v>29</v>
      </c>
      <c r="AA1016" s="453" t="s">
        <v>95</v>
      </c>
      <c r="AB1016" s="542" t="s">
        <v>273</v>
      </c>
      <c r="AC1016" s="454"/>
      <c r="AD1016" s="672">
        <f>AD1017+AD1023+AD1020+AD1026</f>
        <v>11176.400000000001</v>
      </c>
      <c r="AE1016" s="634">
        <f>AE1017+AE1023+AE1020+AE1026</f>
        <v>10763.400000000001</v>
      </c>
      <c r="AF1016" s="645">
        <f>AF1017+AF1023+AF1020+AF1026</f>
        <v>10763.400000000001</v>
      </c>
      <c r="AG1016" s="3"/>
      <c r="AH1016" s="3"/>
    </row>
    <row r="1017" spans="1:34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R1017" s="3"/>
      <c r="S1017" s="3"/>
      <c r="W1017" s="3"/>
      <c r="X1017" s="451" t="s">
        <v>275</v>
      </c>
      <c r="Y1017" s="452">
        <v>904</v>
      </c>
      <c r="Z1017" s="453" t="s">
        <v>29</v>
      </c>
      <c r="AA1017" s="453" t="s">
        <v>95</v>
      </c>
      <c r="AB1017" s="542" t="s">
        <v>276</v>
      </c>
      <c r="AC1017" s="454"/>
      <c r="AD1017" s="672">
        <f t="shared" ref="AD1017:AF1018" si="319">AD1018</f>
        <v>1348.2</v>
      </c>
      <c r="AE1017" s="634">
        <f t="shared" si="319"/>
        <v>1348.2</v>
      </c>
      <c r="AF1017" s="645">
        <f t="shared" si="319"/>
        <v>1348.2</v>
      </c>
      <c r="AH1017" s="3"/>
    </row>
    <row r="1018" spans="1:34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R1018" s="3"/>
      <c r="S1018" s="3"/>
      <c r="W1018" s="3"/>
      <c r="X1018" s="451" t="s">
        <v>120</v>
      </c>
      <c r="Y1018" s="452">
        <v>904</v>
      </c>
      <c r="Z1018" s="453" t="s">
        <v>29</v>
      </c>
      <c r="AA1018" s="453" t="s">
        <v>95</v>
      </c>
      <c r="AB1018" s="542" t="s">
        <v>276</v>
      </c>
      <c r="AC1018" s="454">
        <v>200</v>
      </c>
      <c r="AD1018" s="672">
        <f t="shared" si="319"/>
        <v>1348.2</v>
      </c>
      <c r="AE1018" s="634">
        <f t="shared" si="319"/>
        <v>1348.2</v>
      </c>
      <c r="AF1018" s="645">
        <f t="shared" si="319"/>
        <v>1348.2</v>
      </c>
      <c r="AH1018" s="3"/>
    </row>
    <row r="1019" spans="1:34" ht="21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R1019" s="3"/>
      <c r="S1019" s="3"/>
      <c r="W1019" s="3"/>
      <c r="X1019" s="451" t="s">
        <v>52</v>
      </c>
      <c r="Y1019" s="452">
        <v>904</v>
      </c>
      <c r="Z1019" s="453" t="s">
        <v>29</v>
      </c>
      <c r="AA1019" s="453" t="s">
        <v>95</v>
      </c>
      <c r="AB1019" s="542" t="s">
        <v>276</v>
      </c>
      <c r="AC1019" s="454">
        <v>240</v>
      </c>
      <c r="AD1019" s="672">
        <v>1348.2</v>
      </c>
      <c r="AE1019" s="634">
        <v>1348.2</v>
      </c>
      <c r="AF1019" s="645">
        <v>1348.2</v>
      </c>
      <c r="AH1019" s="3"/>
    </row>
    <row r="1020" spans="1:34" ht="31.5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R1020" s="3"/>
      <c r="S1020" s="3"/>
      <c r="W1020" s="3"/>
      <c r="X1020" s="451" t="s">
        <v>277</v>
      </c>
      <c r="Y1020" s="452">
        <v>904</v>
      </c>
      <c r="Z1020" s="453" t="s">
        <v>29</v>
      </c>
      <c r="AA1020" s="453" t="s">
        <v>95</v>
      </c>
      <c r="AB1020" s="542" t="s">
        <v>278</v>
      </c>
      <c r="AC1020" s="454"/>
      <c r="AD1020" s="672">
        <f t="shared" ref="AD1020:AF1021" si="320">AD1021</f>
        <v>2423.4</v>
      </c>
      <c r="AE1020" s="634">
        <f t="shared" si="320"/>
        <v>2423.4</v>
      </c>
      <c r="AF1020" s="645">
        <f t="shared" si="320"/>
        <v>2423.4</v>
      </c>
      <c r="AH1020" s="3"/>
    </row>
    <row r="1021" spans="1:34" ht="47.25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R1021" s="3"/>
      <c r="S1021" s="3"/>
      <c r="W1021" s="3"/>
      <c r="X1021" s="451" t="s">
        <v>41</v>
      </c>
      <c r="Y1021" s="452">
        <v>904</v>
      </c>
      <c r="Z1021" s="453" t="s">
        <v>29</v>
      </c>
      <c r="AA1021" s="453" t="s">
        <v>95</v>
      </c>
      <c r="AB1021" s="542" t="s">
        <v>278</v>
      </c>
      <c r="AC1021" s="454">
        <v>100</v>
      </c>
      <c r="AD1021" s="672">
        <f t="shared" si="320"/>
        <v>2423.4</v>
      </c>
      <c r="AE1021" s="634">
        <f t="shared" si="320"/>
        <v>2423.4</v>
      </c>
      <c r="AF1021" s="645">
        <f t="shared" si="320"/>
        <v>2423.4</v>
      </c>
      <c r="AH1021" s="3"/>
    </row>
    <row r="1022" spans="1:34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R1022" s="3"/>
      <c r="S1022" s="3"/>
      <c r="W1022" s="3"/>
      <c r="X1022" s="451" t="s">
        <v>96</v>
      </c>
      <c r="Y1022" s="452">
        <v>904</v>
      </c>
      <c r="Z1022" s="453" t="s">
        <v>29</v>
      </c>
      <c r="AA1022" s="453" t="s">
        <v>95</v>
      </c>
      <c r="AB1022" s="542" t="s">
        <v>278</v>
      </c>
      <c r="AC1022" s="454">
        <v>120</v>
      </c>
      <c r="AD1022" s="672">
        <v>2423.4</v>
      </c>
      <c r="AE1022" s="634">
        <v>2423.4</v>
      </c>
      <c r="AF1022" s="645">
        <v>2423.4</v>
      </c>
      <c r="AH1022" s="3"/>
    </row>
    <row r="1023" spans="1:34" ht="31.5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R1023" s="3"/>
      <c r="S1023" s="3"/>
      <c r="W1023" s="3"/>
      <c r="X1023" s="451" t="s">
        <v>280</v>
      </c>
      <c r="Y1023" s="452">
        <v>904</v>
      </c>
      <c r="Z1023" s="453" t="s">
        <v>29</v>
      </c>
      <c r="AA1023" s="453" t="s">
        <v>95</v>
      </c>
      <c r="AB1023" s="542" t="s">
        <v>279</v>
      </c>
      <c r="AC1023" s="454"/>
      <c r="AD1023" s="672">
        <f t="shared" ref="AD1023:AF1024" si="321">AD1024</f>
        <v>4460</v>
      </c>
      <c r="AE1023" s="634">
        <f t="shared" si="321"/>
        <v>4460</v>
      </c>
      <c r="AF1023" s="645">
        <f t="shared" si="321"/>
        <v>4460</v>
      </c>
      <c r="AH1023" s="3"/>
    </row>
    <row r="1024" spans="1:34" ht="47.25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R1024" s="3"/>
      <c r="S1024" s="3"/>
      <c r="W1024" s="3"/>
      <c r="X1024" s="451" t="s">
        <v>41</v>
      </c>
      <c r="Y1024" s="452">
        <v>904</v>
      </c>
      <c r="Z1024" s="453" t="s">
        <v>29</v>
      </c>
      <c r="AA1024" s="453" t="s">
        <v>95</v>
      </c>
      <c r="AB1024" s="542" t="s">
        <v>279</v>
      </c>
      <c r="AC1024" s="454">
        <v>100</v>
      </c>
      <c r="AD1024" s="672">
        <f t="shared" si="321"/>
        <v>4460</v>
      </c>
      <c r="AE1024" s="634">
        <f t="shared" si="321"/>
        <v>4460</v>
      </c>
      <c r="AF1024" s="645">
        <f t="shared" si="321"/>
        <v>4460</v>
      </c>
      <c r="AH1024" s="3"/>
    </row>
    <row r="1025" spans="1:3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W1025" s="3"/>
      <c r="X1025" s="451" t="s">
        <v>96</v>
      </c>
      <c r="Y1025" s="452">
        <v>904</v>
      </c>
      <c r="Z1025" s="453" t="s">
        <v>29</v>
      </c>
      <c r="AA1025" s="453" t="s">
        <v>95</v>
      </c>
      <c r="AB1025" s="542" t="s">
        <v>279</v>
      </c>
      <c r="AC1025" s="454">
        <v>120</v>
      </c>
      <c r="AD1025" s="672">
        <v>4460</v>
      </c>
      <c r="AE1025" s="634">
        <v>4460</v>
      </c>
      <c r="AF1025" s="645">
        <v>4460</v>
      </c>
      <c r="AG1025" s="263"/>
      <c r="AH1025" s="3"/>
    </row>
    <row r="1026" spans="1:35" ht="31.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W1026" s="3"/>
      <c r="X1026" s="451" t="s">
        <v>419</v>
      </c>
      <c r="Y1026" s="452">
        <v>904</v>
      </c>
      <c r="Z1026" s="453" t="s">
        <v>29</v>
      </c>
      <c r="AA1026" s="453" t="s">
        <v>95</v>
      </c>
      <c r="AB1026" s="542" t="s">
        <v>404</v>
      </c>
      <c r="AC1026" s="454"/>
      <c r="AD1026" s="672">
        <f t="shared" ref="AD1026:AF1027" si="322">AD1027</f>
        <v>2944.8</v>
      </c>
      <c r="AE1026" s="634">
        <f t="shared" si="322"/>
        <v>2531.8000000000002</v>
      </c>
      <c r="AF1026" s="645">
        <f t="shared" si="322"/>
        <v>2531.8000000000002</v>
      </c>
      <c r="AH1026" s="3"/>
    </row>
    <row r="1027" spans="1:35" ht="47.25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W1027" s="3"/>
      <c r="X1027" s="451" t="s">
        <v>41</v>
      </c>
      <c r="Y1027" s="452">
        <v>904</v>
      </c>
      <c r="Z1027" s="453" t="s">
        <v>29</v>
      </c>
      <c r="AA1027" s="453" t="s">
        <v>95</v>
      </c>
      <c r="AB1027" s="542" t="s">
        <v>404</v>
      </c>
      <c r="AC1027" s="454">
        <v>100</v>
      </c>
      <c r="AD1027" s="672">
        <f t="shared" si="322"/>
        <v>2944.8</v>
      </c>
      <c r="AE1027" s="634">
        <f t="shared" si="322"/>
        <v>2531.8000000000002</v>
      </c>
      <c r="AF1027" s="645">
        <f t="shared" si="322"/>
        <v>2531.8000000000002</v>
      </c>
      <c r="AH1027" s="3"/>
    </row>
    <row r="1028" spans="1:35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W1028" s="3"/>
      <c r="X1028" s="451" t="s">
        <v>96</v>
      </c>
      <c r="Y1028" s="452">
        <v>904</v>
      </c>
      <c r="Z1028" s="453" t="s">
        <v>29</v>
      </c>
      <c r="AA1028" s="453" t="s">
        <v>95</v>
      </c>
      <c r="AB1028" s="542" t="s">
        <v>404</v>
      </c>
      <c r="AC1028" s="454">
        <v>120</v>
      </c>
      <c r="AD1028" s="672">
        <f>2531.8+413</f>
        <v>2944.8</v>
      </c>
      <c r="AE1028" s="634">
        <v>2531.8000000000002</v>
      </c>
      <c r="AF1028" s="645">
        <v>2531.8000000000002</v>
      </c>
      <c r="AH1028" s="3"/>
      <c r="AI1028" s="697" t="s">
        <v>791</v>
      </c>
    </row>
    <row r="1029" spans="1:3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W1029" s="3"/>
      <c r="X1029" s="653" t="s">
        <v>94</v>
      </c>
      <c r="Y1029" s="448" t="s">
        <v>66</v>
      </c>
      <c r="Z1029" s="471" t="s">
        <v>36</v>
      </c>
      <c r="AA1029" s="540"/>
      <c r="AB1029" s="539"/>
      <c r="AC1029" s="476"/>
      <c r="AD1029" s="671">
        <f t="shared" ref="AD1029:AF1035" si="323">AD1030</f>
        <v>633</v>
      </c>
      <c r="AE1029" s="633">
        <f t="shared" si="323"/>
        <v>633</v>
      </c>
      <c r="AF1029" s="644">
        <f t="shared" si="323"/>
        <v>633</v>
      </c>
      <c r="AH1029" s="3"/>
    </row>
    <row r="1030" spans="1:3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W1030" s="3"/>
      <c r="X1030" s="451" t="s">
        <v>55</v>
      </c>
      <c r="Y1030" s="452">
        <v>904</v>
      </c>
      <c r="Z1030" s="453">
        <v>10</v>
      </c>
      <c r="AA1030" s="453" t="s">
        <v>29</v>
      </c>
      <c r="AB1030" s="541"/>
      <c r="AC1030" s="450"/>
      <c r="AD1030" s="672">
        <f t="shared" si="323"/>
        <v>633</v>
      </c>
      <c r="AE1030" s="634">
        <f t="shared" si="323"/>
        <v>633</v>
      </c>
      <c r="AF1030" s="645">
        <f t="shared" si="323"/>
        <v>633</v>
      </c>
      <c r="AH1030" s="3"/>
    </row>
    <row r="1031" spans="1:35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W1031" s="3"/>
      <c r="X1031" s="457" t="s">
        <v>292</v>
      </c>
      <c r="Y1031" s="452">
        <v>904</v>
      </c>
      <c r="Z1031" s="453">
        <v>10</v>
      </c>
      <c r="AA1031" s="453" t="s">
        <v>29</v>
      </c>
      <c r="AB1031" s="542" t="s">
        <v>109</v>
      </c>
      <c r="AC1031" s="450"/>
      <c r="AD1031" s="672">
        <f t="shared" si="323"/>
        <v>633</v>
      </c>
      <c r="AE1031" s="634">
        <f t="shared" si="323"/>
        <v>633</v>
      </c>
      <c r="AF1031" s="645">
        <f t="shared" si="323"/>
        <v>633</v>
      </c>
      <c r="AH1031" s="3"/>
    </row>
    <row r="1032" spans="1:3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W1032" s="3"/>
      <c r="X1032" s="457" t="s">
        <v>293</v>
      </c>
      <c r="Y1032" s="452">
        <v>904</v>
      </c>
      <c r="Z1032" s="453">
        <v>10</v>
      </c>
      <c r="AA1032" s="453" t="s">
        <v>29</v>
      </c>
      <c r="AB1032" s="542" t="s">
        <v>118</v>
      </c>
      <c r="AC1032" s="450"/>
      <c r="AD1032" s="672">
        <f>AD1033</f>
        <v>633</v>
      </c>
      <c r="AE1032" s="634">
        <f>AE1033</f>
        <v>633</v>
      </c>
      <c r="AF1032" s="645">
        <f>AF1033</f>
        <v>633</v>
      </c>
      <c r="AH1032" s="3"/>
    </row>
    <row r="1033" spans="1:35" ht="31.5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W1033" s="3"/>
      <c r="X1033" s="457" t="s">
        <v>294</v>
      </c>
      <c r="Y1033" s="452">
        <v>904</v>
      </c>
      <c r="Z1033" s="453">
        <v>10</v>
      </c>
      <c r="AA1033" s="453" t="s">
        <v>29</v>
      </c>
      <c r="AB1033" s="542" t="s">
        <v>465</v>
      </c>
      <c r="AC1033" s="450"/>
      <c r="AD1033" s="672">
        <f t="shared" si="323"/>
        <v>633</v>
      </c>
      <c r="AE1033" s="634">
        <f t="shared" si="323"/>
        <v>633</v>
      </c>
      <c r="AF1033" s="645">
        <f t="shared" si="323"/>
        <v>633</v>
      </c>
      <c r="AG1033" s="3"/>
      <c r="AH1033" s="3"/>
    </row>
    <row r="1034" spans="1:35" ht="31.5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W1034" s="3"/>
      <c r="X1034" s="466" t="s">
        <v>295</v>
      </c>
      <c r="Y1034" s="452">
        <v>904</v>
      </c>
      <c r="Z1034" s="453">
        <v>10</v>
      </c>
      <c r="AA1034" s="453" t="s">
        <v>29</v>
      </c>
      <c r="AB1034" s="542" t="s">
        <v>464</v>
      </c>
      <c r="AC1034" s="450"/>
      <c r="AD1034" s="672">
        <f t="shared" si="323"/>
        <v>633</v>
      </c>
      <c r="AE1034" s="634">
        <f t="shared" si="323"/>
        <v>633</v>
      </c>
      <c r="AF1034" s="645">
        <f t="shared" si="323"/>
        <v>633</v>
      </c>
      <c r="AG1034" s="3"/>
      <c r="AH1034" s="3"/>
    </row>
    <row r="1035" spans="1:3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W1035" s="3"/>
      <c r="X1035" s="451" t="s">
        <v>97</v>
      </c>
      <c r="Y1035" s="452">
        <v>904</v>
      </c>
      <c r="Z1035" s="453">
        <v>10</v>
      </c>
      <c r="AA1035" s="453" t="s">
        <v>29</v>
      </c>
      <c r="AB1035" s="542" t="s">
        <v>464</v>
      </c>
      <c r="AC1035" s="454">
        <v>300</v>
      </c>
      <c r="AD1035" s="672">
        <f t="shared" si="323"/>
        <v>633</v>
      </c>
      <c r="AE1035" s="634">
        <f t="shared" si="323"/>
        <v>633</v>
      </c>
      <c r="AF1035" s="645">
        <f t="shared" si="323"/>
        <v>633</v>
      </c>
      <c r="AG1035" s="3"/>
      <c r="AH1035" s="3"/>
    </row>
    <row r="1036" spans="1:35" ht="17.25" thickBot="1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W1036" s="3"/>
      <c r="X1036" s="684" t="s">
        <v>40</v>
      </c>
      <c r="Y1036" s="685">
        <v>904</v>
      </c>
      <c r="Z1036" s="686">
        <v>10</v>
      </c>
      <c r="AA1036" s="686" t="s">
        <v>29</v>
      </c>
      <c r="AB1036" s="687" t="s">
        <v>464</v>
      </c>
      <c r="AC1036" s="688">
        <v>320</v>
      </c>
      <c r="AD1036" s="689">
        <v>633</v>
      </c>
      <c r="AE1036" s="690">
        <v>633</v>
      </c>
      <c r="AF1036" s="691">
        <v>633</v>
      </c>
      <c r="AG1036" s="3"/>
      <c r="AH1036" s="3"/>
    </row>
    <row r="1037" spans="1:35" ht="17.25" thickBot="1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W1037" s="3"/>
      <c r="X1037" s="713" t="s">
        <v>56</v>
      </c>
      <c r="Y1037" s="715"/>
      <c r="Z1037" s="714"/>
      <c r="AA1037" s="692"/>
      <c r="AB1037" s="693"/>
      <c r="AC1037" s="694"/>
      <c r="AD1037" s="695">
        <f>AD1006+AD798+AD623+AD568+AD534+AD500+AD12</f>
        <v>5409112.3000000007</v>
      </c>
      <c r="AE1037" s="696">
        <f>AE1006+AE798+AE623+AE568+AE534+AE500+AE12</f>
        <v>3284433.1</v>
      </c>
      <c r="AF1037" s="694">
        <f>AF1006+AF798+AF623+AF568+AF534+AF500+AF12</f>
        <v>3189048.2</v>
      </c>
      <c r="AG1037" s="3"/>
      <c r="AH1037" s="3"/>
    </row>
    <row r="1038" spans="1:35" x14ac:dyDescent="0.25">
      <c r="Y1038" s="712"/>
    </row>
    <row r="1040" spans="1:35" ht="16.899999999999999" customHeight="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W1040" s="3"/>
      <c r="AG1040" s="3"/>
      <c r="AH1040" s="3"/>
    </row>
  </sheetData>
  <mergeCells count="13">
    <mergeCell ref="A9:T9"/>
    <mergeCell ref="X9:AC9"/>
    <mergeCell ref="A8:T8"/>
    <mergeCell ref="X8:AF8"/>
    <mergeCell ref="AD6:AF6"/>
    <mergeCell ref="AI200:AJ200"/>
    <mergeCell ref="AJ10:AL10"/>
    <mergeCell ref="AJ8:AL8"/>
    <mergeCell ref="AJ9:AL9"/>
    <mergeCell ref="AD2:AF2"/>
    <mergeCell ref="AD3:AF3"/>
    <mergeCell ref="AI6:AL7"/>
    <mergeCell ref="AD5:AF5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Функц. 2025-2027</vt:lpstr>
      <vt:lpstr>Целевые 2025-2027</vt:lpstr>
      <vt:lpstr>Р., Пр.2025-2027</vt:lpstr>
      <vt:lpstr>ведом. 2025-2027</vt:lpstr>
      <vt:lpstr>Лист1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PashkevichYuV</cp:lastModifiedBy>
  <cp:lastPrinted>2025-06-11T13:12:46Z</cp:lastPrinted>
  <dcterms:created xsi:type="dcterms:W3CDTF">2001-09-21T11:20:50Z</dcterms:created>
  <dcterms:modified xsi:type="dcterms:W3CDTF">2025-06-11T13:13:20Z</dcterms:modified>
</cp:coreProperties>
</file>